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5.xml" ContentType="application/vnd.openxmlformats-officedocument.drawing+xml"/>
  <Override PartName="/xl/comments2.xml" ContentType="application/vnd.openxmlformats-officedocument.spreadsheetml.comments+xml"/>
  <Override PartName="/xl/charts/chart12.xml" ContentType="application/vnd.openxmlformats-officedocument.drawingml.chart+xml"/>
  <Override PartName="/xl/charts/chart13.xml" ContentType="application/vnd.openxmlformats-officedocument.drawingml.chart+xml"/>
  <Override PartName="/xl/drawings/drawing6.xml" ContentType="application/vnd.openxmlformats-officedocument.drawing+xml"/>
  <Override PartName="/xl/comments3.xml" ContentType="application/vnd.openxmlformats-officedocument.spreadsheetml.comments+xml"/>
  <Override PartName="/xl/charts/chart14.xml" ContentType="application/vnd.openxmlformats-officedocument.drawingml.chart+xml"/>
  <Override PartName="/xl/drawings/drawing7.xml" ContentType="application/vnd.openxmlformats-officedocument.drawing+xml"/>
  <Override PartName="/xl/comments4.xml" ContentType="application/vnd.openxmlformats-officedocument.spreadsheetml.comments+xml"/>
  <Override PartName="/xl/charts/chart15.xml" ContentType="application/vnd.openxmlformats-officedocument.drawingml.chart+xml"/>
  <Override PartName="/xl/drawings/drawing8.xml" ContentType="application/vnd.openxmlformats-officedocument.drawing+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525" yWindow="15" windowWidth="18375" windowHeight="9165" tabRatio="925"/>
  </bookViews>
  <sheets>
    <sheet name="Content" sheetId="20" r:id="rId1"/>
    <sheet name="max_age" sheetId="41" r:id="rId2"/>
    <sheet name="stol" sheetId="21" r:id="rId3"/>
    <sheet name="pfext" sheetId="19" r:id="rId4"/>
    <sheet name="sigman" sheetId="22" r:id="rId5"/>
    <sheet name="respcoeff" sheetId="43" r:id="rId6"/>
    <sheet name="prg" sheetId="18" r:id="rId7"/>
    <sheet name="prms" sheetId="15" r:id="rId8"/>
    <sheet name="prmr" sheetId="17" r:id="rId9"/>
    <sheet name="psf" sheetId="23" r:id="rId10"/>
    <sheet name="pss" sheetId="24" r:id="rId11"/>
    <sheet name="psr" sheetId="25" r:id="rId12"/>
    <sheet name="pncr" sheetId="27" r:id="rId13"/>
    <sheet name="Ncon" sheetId="44" r:id="rId14"/>
    <sheet name="alphac" sheetId="31" r:id="rId15"/>
    <sheet name="cr_frac" sheetId="46" r:id="rId16"/>
    <sheet name="prhos" sheetId="28" r:id="rId17"/>
    <sheet name="pnus" sheetId="29" r:id="rId18"/>
    <sheet name="pha" sheetId="34" r:id="rId19"/>
    <sheet name="crown_a" sheetId="33" r:id="rId20"/>
    <sheet name="crown_a fit" sheetId="45" r:id="rId21"/>
    <sheet name="Kronenansatzhöhe" sheetId="47" r:id="rId22"/>
    <sheet name="psla_min" sheetId="26" r:id="rId23"/>
    <sheet name="psla_a" sheetId="48" r:id="rId24"/>
    <sheet name="pnc" sheetId="32" r:id="rId25"/>
    <sheet name="ceppot_spec" sheetId="42" r:id="rId26"/>
    <sheet name="Wseed" sheetId="36" r:id="rId27"/>
    <sheet name="Psa" sheetId="49" r:id="rId28"/>
    <sheet name="Ph1" sheetId="40" r:id="rId29"/>
    <sheet name="k_opm_fol" sheetId="37" r:id="rId30"/>
    <sheet name="k_opm_frt" sheetId="35" r:id="rId31"/>
    <sheet name="k_opm_stem" sheetId="38" r:id="rId32"/>
    <sheet name="k_opm_tbc" sheetId="39" r:id="rId33"/>
  </sheets>
  <externalReferences>
    <externalReference r:id="rId34"/>
  </externalReferences>
  <definedNames>
    <definedName name="_Key1" hidden="1">'[1]Bartel-1'!$C$5:$C$27</definedName>
    <definedName name="_Order1" hidden="1">255</definedName>
    <definedName name="solver_adj" localSheetId="20" hidden="1">'crown_a fit'!$P$48:$P$49</definedName>
    <definedName name="solver_adj" localSheetId="21" hidden="1">Kronenansatzhöhe!$J$1:$J$2</definedName>
    <definedName name="solver_adj" localSheetId="18" hidden="1">pha!$X$32:$X$34</definedName>
    <definedName name="solver_cvg" localSheetId="20" hidden="1">0.0001</definedName>
    <definedName name="solver_cvg" localSheetId="21" hidden="1">0.0001</definedName>
    <definedName name="solver_cvg" localSheetId="18" hidden="1">0.0001</definedName>
    <definedName name="solver_drv" localSheetId="20" hidden="1">1</definedName>
    <definedName name="solver_drv" localSheetId="21" hidden="1">1</definedName>
    <definedName name="solver_drv" localSheetId="18" hidden="1">1</definedName>
    <definedName name="solver_est" localSheetId="20" hidden="1">1</definedName>
    <definedName name="solver_est" localSheetId="21" hidden="1">1</definedName>
    <definedName name="solver_est" localSheetId="18" hidden="1">1</definedName>
    <definedName name="solver_itr" localSheetId="20" hidden="1">1000</definedName>
    <definedName name="solver_itr" localSheetId="21" hidden="1">1000</definedName>
    <definedName name="solver_itr" localSheetId="18" hidden="1">10000</definedName>
    <definedName name="solver_lin" localSheetId="20" hidden="1">2</definedName>
    <definedName name="solver_lin" localSheetId="21" hidden="1">2</definedName>
    <definedName name="solver_lin" localSheetId="18" hidden="1">2</definedName>
    <definedName name="solver_neg" localSheetId="20" hidden="1">2</definedName>
    <definedName name="solver_neg" localSheetId="21" hidden="1">2</definedName>
    <definedName name="solver_neg" localSheetId="18" hidden="1">2</definedName>
    <definedName name="solver_num" localSheetId="20" hidden="1">0</definedName>
    <definedName name="solver_num" localSheetId="21" hidden="1">0</definedName>
    <definedName name="solver_num" localSheetId="18" hidden="1">0</definedName>
    <definedName name="solver_nwt" localSheetId="20" hidden="1">1</definedName>
    <definedName name="solver_nwt" localSheetId="21" hidden="1">1</definedName>
    <definedName name="solver_nwt" localSheetId="18" hidden="1">1</definedName>
    <definedName name="solver_opt" localSheetId="20" hidden="1">'crown_a fit'!$O$94</definedName>
    <definedName name="solver_opt" localSheetId="21" hidden="1">Kronenansatzhöhe!$G$205</definedName>
    <definedName name="solver_opt" localSheetId="18" hidden="1">pha!$AF$94</definedName>
    <definedName name="solver_pre" localSheetId="20" hidden="1">0.000001</definedName>
    <definedName name="solver_pre" localSheetId="21" hidden="1">0.000001</definedName>
    <definedName name="solver_pre" localSheetId="18" hidden="1">0.000001</definedName>
    <definedName name="solver_scl" localSheetId="20" hidden="1">2</definedName>
    <definedName name="solver_scl" localSheetId="21" hidden="1">2</definedName>
    <definedName name="solver_scl" localSheetId="18" hidden="1">2</definedName>
    <definedName name="solver_sho" localSheetId="20" hidden="1">2</definedName>
    <definedName name="solver_sho" localSheetId="21" hidden="1">2</definedName>
    <definedName name="solver_sho" localSheetId="18" hidden="1">2</definedName>
    <definedName name="solver_tim" localSheetId="20" hidden="1">100</definedName>
    <definedName name="solver_tim" localSheetId="21" hidden="1">100</definedName>
    <definedName name="solver_tim" localSheetId="18" hidden="1">100</definedName>
    <definedName name="solver_tol" localSheetId="20" hidden="1">0.05</definedName>
    <definedName name="solver_tol" localSheetId="21" hidden="1">0.05</definedName>
    <definedName name="solver_tol" localSheetId="18" hidden="1">0.05</definedName>
    <definedName name="solver_typ" localSheetId="20" hidden="1">2</definedName>
    <definedName name="solver_typ" localSheetId="21" hidden="1">2</definedName>
    <definedName name="solver_typ" localSheetId="18" hidden="1">2</definedName>
    <definedName name="solver_val" localSheetId="20" hidden="1">0</definedName>
    <definedName name="solver_val" localSheetId="21" hidden="1">0</definedName>
    <definedName name="solver_val" localSheetId="18" hidden="1">0</definedName>
  </definedNames>
  <calcPr calcId="145621"/>
</workbook>
</file>

<file path=xl/calcChain.xml><?xml version="1.0" encoding="utf-8"?>
<calcChain xmlns="http://schemas.openxmlformats.org/spreadsheetml/2006/main">
  <c r="C43" i="48" l="1"/>
  <c r="D43" i="48"/>
  <c r="C7" i="48"/>
  <c r="C8" i="48"/>
  <c r="C9" i="48"/>
  <c r="C10" i="48"/>
  <c r="C11" i="48"/>
  <c r="C12" i="48"/>
  <c r="C13" i="48"/>
  <c r="C14" i="48"/>
  <c r="C15" i="48"/>
  <c r="C16" i="48"/>
  <c r="C6" i="48"/>
  <c r="B2" i="47"/>
  <c r="C206" i="47"/>
  <c r="D2" i="47"/>
  <c r="E2" i="47" s="1"/>
  <c r="G2" i="47" s="1"/>
  <c r="F2" i="47"/>
  <c r="B3" i="47"/>
  <c r="F3" i="47"/>
  <c r="B4" i="47"/>
  <c r="F4" i="47"/>
  <c r="B5" i="47"/>
  <c r="F5" i="47" s="1"/>
  <c r="B6" i="47"/>
  <c r="F6" i="47" s="1"/>
  <c r="B7" i="47"/>
  <c r="D7" i="47" s="1"/>
  <c r="E7" i="47" s="1"/>
  <c r="F7" i="47"/>
  <c r="B8" i="47"/>
  <c r="F8" i="47"/>
  <c r="B9" i="47"/>
  <c r="F9" i="47" s="1"/>
  <c r="B10" i="47"/>
  <c r="F10" i="47" s="1"/>
  <c r="B11" i="47"/>
  <c r="F11" i="47"/>
  <c r="B12" i="47"/>
  <c r="F12" i="47"/>
  <c r="B13" i="47"/>
  <c r="F13" i="47" s="1"/>
  <c r="B14" i="47"/>
  <c r="F14" i="47" s="1"/>
  <c r="D14" i="47"/>
  <c r="E14" i="47" s="1"/>
  <c r="G14" i="47" s="1"/>
  <c r="B15" i="47"/>
  <c r="F15" i="47"/>
  <c r="B16" i="47"/>
  <c r="F16" i="47"/>
  <c r="B17" i="47"/>
  <c r="F17" i="47" s="1"/>
  <c r="B18" i="47"/>
  <c r="B19" i="47"/>
  <c r="F19" i="47"/>
  <c r="B20" i="47"/>
  <c r="F20" i="47"/>
  <c r="B21" i="47"/>
  <c r="F21" i="47" s="1"/>
  <c r="B22" i="47"/>
  <c r="F22" i="47" s="1"/>
  <c r="D22" i="47"/>
  <c r="E22" i="47" s="1"/>
  <c r="G22" i="47" s="1"/>
  <c r="B23" i="47"/>
  <c r="D23" i="47" s="1"/>
  <c r="E23" i="47" s="1"/>
  <c r="B24" i="47"/>
  <c r="F24" i="47"/>
  <c r="B25" i="47"/>
  <c r="F25" i="47" s="1"/>
  <c r="B26" i="47"/>
  <c r="F26" i="47" s="1"/>
  <c r="D26" i="47"/>
  <c r="E26" i="47" s="1"/>
  <c r="G26" i="47" s="1"/>
  <c r="B27" i="47"/>
  <c r="F27" i="47"/>
  <c r="B28" i="47"/>
  <c r="F28" i="47"/>
  <c r="B29" i="47"/>
  <c r="F29" i="47" s="1"/>
  <c r="B30" i="47"/>
  <c r="F30" i="47" s="1"/>
  <c r="D30" i="47"/>
  <c r="E30" i="47" s="1"/>
  <c r="G30" i="47" s="1"/>
  <c r="B31" i="47"/>
  <c r="F31" i="47"/>
  <c r="B32" i="47"/>
  <c r="F32" i="47"/>
  <c r="B33" i="47"/>
  <c r="F33" i="47" s="1"/>
  <c r="B34" i="47"/>
  <c r="B35" i="47"/>
  <c r="F35" i="47"/>
  <c r="B36" i="47"/>
  <c r="F36" i="47"/>
  <c r="B37" i="47"/>
  <c r="F37" i="47" s="1"/>
  <c r="B38" i="47"/>
  <c r="F38" i="47" s="1"/>
  <c r="B39" i="47"/>
  <c r="D39" i="47" s="1"/>
  <c r="E39" i="47" s="1"/>
  <c r="F39" i="47"/>
  <c r="B40" i="47"/>
  <c r="F40" i="47"/>
  <c r="B41" i="47"/>
  <c r="F41" i="47" s="1"/>
  <c r="B42" i="47"/>
  <c r="F42" i="47" s="1"/>
  <c r="B43" i="47"/>
  <c r="F43" i="47"/>
  <c r="B44" i="47"/>
  <c r="F44" i="47"/>
  <c r="B45" i="47"/>
  <c r="F45" i="47" s="1"/>
  <c r="B46" i="47"/>
  <c r="F46" i="47" s="1"/>
  <c r="D46" i="47"/>
  <c r="E46" i="47" s="1"/>
  <c r="G46" i="47" s="1"/>
  <c r="B47" i="47"/>
  <c r="F47" i="47"/>
  <c r="B48" i="47"/>
  <c r="F48" i="47"/>
  <c r="B49" i="47"/>
  <c r="F49" i="47" s="1"/>
  <c r="B50" i="47"/>
  <c r="B51" i="47"/>
  <c r="F51" i="47"/>
  <c r="B52" i="47"/>
  <c r="F52" i="47"/>
  <c r="B53" i="47"/>
  <c r="F53" i="47" s="1"/>
  <c r="B54" i="47"/>
  <c r="F54" i="47" s="1"/>
  <c r="D54" i="47"/>
  <c r="E54" i="47" s="1"/>
  <c r="G54" i="47" s="1"/>
  <c r="B55" i="47"/>
  <c r="D55" i="47" s="1"/>
  <c r="E55" i="47" s="1"/>
  <c r="B56" i="47"/>
  <c r="F56" i="47"/>
  <c r="B57" i="47"/>
  <c r="F57" i="47" s="1"/>
  <c r="B58" i="47"/>
  <c r="F58" i="47" s="1"/>
  <c r="D58" i="47"/>
  <c r="E58" i="47" s="1"/>
  <c r="G58" i="47" s="1"/>
  <c r="B59" i="47"/>
  <c r="F59" i="47"/>
  <c r="B60" i="47"/>
  <c r="F60" i="47"/>
  <c r="B61" i="47"/>
  <c r="F61" i="47" s="1"/>
  <c r="B62" i="47"/>
  <c r="F62" i="47" s="1"/>
  <c r="D62" i="47"/>
  <c r="E62" i="47" s="1"/>
  <c r="G62" i="47" s="1"/>
  <c r="B63" i="47"/>
  <c r="F63" i="47"/>
  <c r="B64" i="47"/>
  <c r="F64" i="47"/>
  <c r="B65" i="47"/>
  <c r="F65" i="47" s="1"/>
  <c r="B66" i="47"/>
  <c r="B67" i="47"/>
  <c r="F67" i="47"/>
  <c r="B68" i="47"/>
  <c r="F68" i="47"/>
  <c r="B69" i="47"/>
  <c r="F69" i="47" s="1"/>
  <c r="B70" i="47"/>
  <c r="F70" i="47" s="1"/>
  <c r="B71" i="47"/>
  <c r="D71" i="47" s="1"/>
  <c r="E71" i="47" s="1"/>
  <c r="F71" i="47"/>
  <c r="B72" i="47"/>
  <c r="F72" i="47"/>
  <c r="B73" i="47"/>
  <c r="F73" i="47" s="1"/>
  <c r="B74" i="47"/>
  <c r="F74" i="47" s="1"/>
  <c r="B75" i="47"/>
  <c r="F75" i="47"/>
  <c r="B76" i="47"/>
  <c r="F76" i="47"/>
  <c r="B77" i="47"/>
  <c r="B78" i="47"/>
  <c r="B79" i="47"/>
  <c r="D79" i="47" s="1"/>
  <c r="E79" i="47"/>
  <c r="G79" i="47" s="1"/>
  <c r="F79" i="47"/>
  <c r="B80" i="47"/>
  <c r="D80" i="47"/>
  <c r="E80" i="47"/>
  <c r="G80" i="47" s="1"/>
  <c r="F80" i="47"/>
  <c r="B81" i="47"/>
  <c r="F81" i="47" s="1"/>
  <c r="D81" i="47"/>
  <c r="E81" i="47"/>
  <c r="G81" i="47" s="1"/>
  <c r="B82" i="47"/>
  <c r="B83" i="47"/>
  <c r="B84" i="47"/>
  <c r="F84" i="47"/>
  <c r="B85" i="47"/>
  <c r="B86" i="47"/>
  <c r="F86" i="47"/>
  <c r="B87" i="47"/>
  <c r="B88" i="47"/>
  <c r="F88" i="47"/>
  <c r="B89" i="47"/>
  <c r="B90" i="47"/>
  <c r="F90" i="47"/>
  <c r="B91" i="47"/>
  <c r="B92" i="47"/>
  <c r="F92" i="47"/>
  <c r="B93" i="47"/>
  <c r="B94" i="47"/>
  <c r="F94" i="47"/>
  <c r="B95" i="47"/>
  <c r="B96" i="47"/>
  <c r="F96" i="47"/>
  <c r="B97" i="47"/>
  <c r="B98" i="47"/>
  <c r="F98" i="47"/>
  <c r="B99" i="47"/>
  <c r="B100" i="47"/>
  <c r="F100" i="47"/>
  <c r="B101" i="47"/>
  <c r="B102" i="47"/>
  <c r="F102" i="47"/>
  <c r="B103" i="47"/>
  <c r="B104" i="47"/>
  <c r="F104" i="47"/>
  <c r="B105" i="47"/>
  <c r="B106" i="47"/>
  <c r="F106" i="47"/>
  <c r="B107" i="47"/>
  <c r="B108" i="47"/>
  <c r="F108" i="47"/>
  <c r="B109" i="47"/>
  <c r="B110" i="47"/>
  <c r="F110" i="47"/>
  <c r="B111" i="47"/>
  <c r="B112" i="47"/>
  <c r="F112" i="47"/>
  <c r="B113" i="47"/>
  <c r="B114" i="47"/>
  <c r="F114" i="47"/>
  <c r="B115" i="47"/>
  <c r="B116" i="47"/>
  <c r="F116" i="47"/>
  <c r="B117" i="47"/>
  <c r="B118" i="47"/>
  <c r="F118" i="47"/>
  <c r="B119" i="47"/>
  <c r="B120" i="47"/>
  <c r="F120" i="47"/>
  <c r="B121" i="47"/>
  <c r="B122" i="47"/>
  <c r="F122" i="47"/>
  <c r="B123" i="47"/>
  <c r="B124" i="47"/>
  <c r="F124" i="47"/>
  <c r="B125" i="47"/>
  <c r="B126" i="47"/>
  <c r="B127" i="47"/>
  <c r="D127" i="47"/>
  <c r="E127" i="47" s="1"/>
  <c r="F127" i="47"/>
  <c r="B128" i="47"/>
  <c r="F128" i="47" s="1"/>
  <c r="B129" i="47"/>
  <c r="B130" i="47"/>
  <c r="B131" i="47"/>
  <c r="D131" i="47"/>
  <c r="E131" i="47" s="1"/>
  <c r="F131" i="47"/>
  <c r="B132" i="47"/>
  <c r="F132" i="47" s="1"/>
  <c r="B133" i="47"/>
  <c r="B134" i="47"/>
  <c r="B135" i="47"/>
  <c r="D135" i="47"/>
  <c r="E135" i="47" s="1"/>
  <c r="F135" i="47"/>
  <c r="B136" i="47"/>
  <c r="F136" i="47" s="1"/>
  <c r="B137" i="47"/>
  <c r="B138" i="47"/>
  <c r="B139" i="47"/>
  <c r="D139" i="47"/>
  <c r="E139" i="47" s="1"/>
  <c r="F139" i="47"/>
  <c r="B140" i="47"/>
  <c r="F140" i="47" s="1"/>
  <c r="B141" i="47"/>
  <c r="B142" i="47"/>
  <c r="B143" i="47"/>
  <c r="D143" i="47"/>
  <c r="E143" i="47" s="1"/>
  <c r="F143" i="47"/>
  <c r="B144" i="47"/>
  <c r="F144" i="47" s="1"/>
  <c r="B145" i="47"/>
  <c r="B146" i="47"/>
  <c r="B147" i="47"/>
  <c r="D147" i="47"/>
  <c r="E147" i="47" s="1"/>
  <c r="F147" i="47"/>
  <c r="B148" i="47"/>
  <c r="F148" i="47" s="1"/>
  <c r="B149" i="47"/>
  <c r="B150" i="47"/>
  <c r="B151" i="47"/>
  <c r="D151" i="47"/>
  <c r="E151" i="47" s="1"/>
  <c r="F151" i="47"/>
  <c r="B152" i="47"/>
  <c r="F152" i="47" s="1"/>
  <c r="B153" i="47"/>
  <c r="B154" i="47"/>
  <c r="B155" i="47"/>
  <c r="D155" i="47"/>
  <c r="E155" i="47" s="1"/>
  <c r="F155" i="47"/>
  <c r="B156" i="47"/>
  <c r="F156" i="47" s="1"/>
  <c r="B157" i="47"/>
  <c r="B158" i="47"/>
  <c r="B159" i="47"/>
  <c r="D159" i="47"/>
  <c r="E159" i="47" s="1"/>
  <c r="F159" i="47"/>
  <c r="B160" i="47"/>
  <c r="F160" i="47" s="1"/>
  <c r="B161" i="47"/>
  <c r="B162" i="47"/>
  <c r="B163" i="47"/>
  <c r="D163" i="47"/>
  <c r="E163" i="47" s="1"/>
  <c r="F163" i="47"/>
  <c r="B164" i="47"/>
  <c r="F164" i="47" s="1"/>
  <c r="B165" i="47"/>
  <c r="B166" i="47"/>
  <c r="B167" i="47"/>
  <c r="D167" i="47"/>
  <c r="E167" i="47" s="1"/>
  <c r="F167" i="47"/>
  <c r="B168" i="47"/>
  <c r="F168" i="47" s="1"/>
  <c r="B169" i="47"/>
  <c r="B170" i="47"/>
  <c r="B171" i="47"/>
  <c r="D171" i="47"/>
  <c r="E171" i="47" s="1"/>
  <c r="F171" i="47"/>
  <c r="B172" i="47"/>
  <c r="F172" i="47" s="1"/>
  <c r="B173" i="47"/>
  <c r="B174" i="47"/>
  <c r="B175" i="47"/>
  <c r="D175" i="47"/>
  <c r="E175" i="47" s="1"/>
  <c r="F175" i="47"/>
  <c r="B176" i="47"/>
  <c r="F176" i="47" s="1"/>
  <c r="B177" i="47"/>
  <c r="B178" i="47"/>
  <c r="B179" i="47"/>
  <c r="D179" i="47"/>
  <c r="E179" i="47" s="1"/>
  <c r="F179" i="47"/>
  <c r="B180" i="47"/>
  <c r="F180" i="47" s="1"/>
  <c r="B181" i="47"/>
  <c r="B182" i="47"/>
  <c r="B183" i="47"/>
  <c r="D183" i="47"/>
  <c r="E183" i="47" s="1"/>
  <c r="F183" i="47"/>
  <c r="B184" i="47"/>
  <c r="F184" i="47" s="1"/>
  <c r="B185" i="47"/>
  <c r="B186" i="47"/>
  <c r="B187" i="47"/>
  <c r="D187" i="47"/>
  <c r="E187" i="47" s="1"/>
  <c r="F187" i="47"/>
  <c r="B188" i="47"/>
  <c r="F188" i="47" s="1"/>
  <c r="B189" i="47"/>
  <c r="B190" i="47"/>
  <c r="B191" i="47"/>
  <c r="D191" i="47"/>
  <c r="E191" i="47" s="1"/>
  <c r="F191" i="47"/>
  <c r="B192" i="47"/>
  <c r="F192" i="47" s="1"/>
  <c r="B193" i="47"/>
  <c r="B194" i="47"/>
  <c r="B195" i="47"/>
  <c r="D195" i="47"/>
  <c r="E195" i="47" s="1"/>
  <c r="F195" i="47"/>
  <c r="B196" i="47"/>
  <c r="B197" i="47"/>
  <c r="F197" i="47" s="1"/>
  <c r="D197" i="47"/>
  <c r="E197" i="47" s="1"/>
  <c r="G197" i="47" s="1"/>
  <c r="B198" i="47"/>
  <c r="B199" i="47"/>
  <c r="D199" i="47"/>
  <c r="E199" i="47" s="1"/>
  <c r="F199" i="47"/>
  <c r="B200" i="47"/>
  <c r="B201" i="47"/>
  <c r="F201" i="47" s="1"/>
  <c r="D201" i="47"/>
  <c r="E201" i="47" s="1"/>
  <c r="G201" i="47" s="1"/>
  <c r="B202" i="47"/>
  <c r="B203" i="47"/>
  <c r="D203" i="47"/>
  <c r="E203" i="47" s="1"/>
  <c r="F203" i="47"/>
  <c r="B204" i="47"/>
  <c r="D8" i="46"/>
  <c r="C17" i="46" s="1"/>
  <c r="E5" i="46"/>
  <c r="O9" i="46"/>
  <c r="M9" i="46"/>
  <c r="F9" i="46"/>
  <c r="J9" i="46"/>
  <c r="O8" i="46"/>
  <c r="P8" i="46" s="1"/>
  <c r="O7" i="46"/>
  <c r="M8" i="46"/>
  <c r="M7" i="46"/>
  <c r="F8" i="46"/>
  <c r="J8" i="46"/>
  <c r="K7" i="46"/>
  <c r="F7" i="46"/>
  <c r="J7" i="46" s="1"/>
  <c r="O6" i="46"/>
  <c r="Q6" i="46" s="1"/>
  <c r="M6" i="46"/>
  <c r="F6" i="46"/>
  <c r="J6" i="46"/>
  <c r="O5" i="46"/>
  <c r="M5" i="46"/>
  <c r="Q5" i="46" s="1"/>
  <c r="F5" i="46"/>
  <c r="J5" i="46" s="1"/>
  <c r="O4" i="46"/>
  <c r="Q4" i="46" s="1"/>
  <c r="M4" i="46"/>
  <c r="F4" i="46"/>
  <c r="J4" i="46"/>
  <c r="L4" i="46"/>
  <c r="D175" i="31"/>
  <c r="D209" i="31"/>
  <c r="D210" i="31"/>
  <c r="D212" i="31"/>
  <c r="D213" i="31" s="1"/>
  <c r="D214" i="31" s="1"/>
  <c r="D215" i="31" s="1"/>
  <c r="K211" i="31"/>
  <c r="N179" i="31"/>
  <c r="P179" i="31" s="1"/>
  <c r="L179" i="31"/>
  <c r="E179" i="31"/>
  <c r="I179" i="31"/>
  <c r="N178" i="31"/>
  <c r="N177" i="31"/>
  <c r="O178" i="31"/>
  <c r="L178" i="31"/>
  <c r="M178" i="31" s="1"/>
  <c r="Q178" i="31" s="1"/>
  <c r="L177" i="31"/>
  <c r="E178" i="31"/>
  <c r="I178" i="31" s="1"/>
  <c r="J177" i="31"/>
  <c r="E177" i="31"/>
  <c r="I177" i="31"/>
  <c r="N176" i="31"/>
  <c r="L176" i="31"/>
  <c r="P176" i="31"/>
  <c r="E176" i="31"/>
  <c r="I176" i="31" s="1"/>
  <c r="N175" i="31"/>
  <c r="P175" i="31" s="1"/>
  <c r="L175" i="31"/>
  <c r="E175" i="31"/>
  <c r="I175" i="31"/>
  <c r="N174" i="31"/>
  <c r="L174" i="31"/>
  <c r="E174" i="31"/>
  <c r="I174" i="31"/>
  <c r="K174" i="31" s="1"/>
  <c r="AE83" i="34"/>
  <c r="X83" i="34"/>
  <c r="Y83" i="34"/>
  <c r="AF83" i="34" s="1"/>
  <c r="AE84" i="34"/>
  <c r="X84" i="34"/>
  <c r="Y84" i="34" s="1"/>
  <c r="AF84" i="34" s="1"/>
  <c r="AE85" i="34"/>
  <c r="X85" i="34"/>
  <c r="Y85" i="34"/>
  <c r="AF85" i="34" s="1"/>
  <c r="AE86" i="34"/>
  <c r="X86" i="34"/>
  <c r="Y86" i="34"/>
  <c r="AF86" i="34" s="1"/>
  <c r="AE87" i="34"/>
  <c r="X87" i="34"/>
  <c r="Y87" i="34"/>
  <c r="AF87" i="34" s="1"/>
  <c r="AE88" i="34"/>
  <c r="X88" i="34"/>
  <c r="Y88" i="34" s="1"/>
  <c r="AF88" i="34" s="1"/>
  <c r="AE89" i="34"/>
  <c r="X89" i="34"/>
  <c r="Y89" i="34"/>
  <c r="AF89" i="34" s="1"/>
  <c r="AE90" i="34"/>
  <c r="X90" i="34"/>
  <c r="Y90" i="34"/>
  <c r="AF90" i="34" s="1"/>
  <c r="AE91" i="34"/>
  <c r="X91" i="34"/>
  <c r="Y91" i="34"/>
  <c r="AF91" i="34" s="1"/>
  <c r="AE92" i="34"/>
  <c r="X92" i="34"/>
  <c r="Y92" i="34" s="1"/>
  <c r="AF92" i="34" s="1"/>
  <c r="AE93" i="34"/>
  <c r="X93" i="34"/>
  <c r="Y93" i="34"/>
  <c r="AF93" i="34" s="1"/>
  <c r="AC6" i="34"/>
  <c r="AC7" i="34"/>
  <c r="AE7" i="34" s="1"/>
  <c r="AC8" i="34"/>
  <c r="X57" i="34"/>
  <c r="Y57" i="34"/>
  <c r="X58" i="34"/>
  <c r="Y58" i="34" s="1"/>
  <c r="X59" i="34"/>
  <c r="Y59" i="34"/>
  <c r="X60" i="34"/>
  <c r="Y60" i="34" s="1"/>
  <c r="X61" i="34"/>
  <c r="Y61" i="34" s="1"/>
  <c r="X62" i="34"/>
  <c r="Y62" i="34" s="1"/>
  <c r="X63" i="34"/>
  <c r="Y63" i="34"/>
  <c r="X64" i="34"/>
  <c r="Y64" i="34" s="1"/>
  <c r="X65" i="34"/>
  <c r="Y65" i="34"/>
  <c r="X66" i="34"/>
  <c r="Y66" i="34" s="1"/>
  <c r="X67" i="34"/>
  <c r="Y67" i="34"/>
  <c r="X68" i="34"/>
  <c r="Y68" i="34" s="1"/>
  <c r="X69" i="34"/>
  <c r="Y69" i="34" s="1"/>
  <c r="X70" i="34"/>
  <c r="Y70" i="34" s="1"/>
  <c r="X71" i="34"/>
  <c r="Y71" i="34" s="1"/>
  <c r="X72" i="34"/>
  <c r="Y72" i="34" s="1"/>
  <c r="X73" i="34"/>
  <c r="Y73" i="34"/>
  <c r="X74" i="34"/>
  <c r="Y74" i="34" s="1"/>
  <c r="X75" i="34"/>
  <c r="Y75" i="34"/>
  <c r="X76" i="34"/>
  <c r="Y76" i="34" s="1"/>
  <c r="X77" i="34"/>
  <c r="Y77" i="34" s="1"/>
  <c r="X78" i="34"/>
  <c r="Y78" i="34" s="1"/>
  <c r="X79" i="34"/>
  <c r="Y79" i="34"/>
  <c r="X80" i="34"/>
  <c r="Y80" i="34" s="1"/>
  <c r="X81" i="34"/>
  <c r="Y81" i="34"/>
  <c r="X82" i="34"/>
  <c r="Y82" i="34" s="1"/>
  <c r="X94" i="34"/>
  <c r="Y94" i="34"/>
  <c r="X95" i="34"/>
  <c r="Y95" i="34" s="1"/>
  <c r="X96" i="34"/>
  <c r="Y96" i="34" s="1"/>
  <c r="X97" i="34"/>
  <c r="Y97" i="34" s="1"/>
  <c r="X98" i="34"/>
  <c r="Y98" i="34"/>
  <c r="X99" i="34"/>
  <c r="Y99" i="34" s="1"/>
  <c r="X100" i="34"/>
  <c r="Y100" i="34"/>
  <c r="X101" i="34"/>
  <c r="Y101" i="34" s="1"/>
  <c r="X102" i="34"/>
  <c r="Y102" i="34"/>
  <c r="X103" i="34"/>
  <c r="Y103" i="34" s="1"/>
  <c r="X104" i="34"/>
  <c r="Y104" i="34" s="1"/>
  <c r="X105" i="34"/>
  <c r="Y105" i="34" s="1"/>
  <c r="AE6" i="34"/>
  <c r="AE5" i="34"/>
  <c r="B6" i="45"/>
  <c r="C6" i="45"/>
  <c r="D6" i="45"/>
  <c r="G6" i="45" s="1"/>
  <c r="E6" i="45"/>
  <c r="F6" i="45"/>
  <c r="I6" i="45"/>
  <c r="B7" i="45"/>
  <c r="C7" i="45" s="1"/>
  <c r="D7" i="45" s="1"/>
  <c r="E7" i="45"/>
  <c r="F7" i="45"/>
  <c r="I7" i="45" s="1"/>
  <c r="B8" i="45"/>
  <c r="C8" i="45" s="1"/>
  <c r="F8" i="45"/>
  <c r="I8" i="45" s="1"/>
  <c r="B9" i="45"/>
  <c r="C9" i="45"/>
  <c r="E9" i="45" s="1"/>
  <c r="D9" i="45"/>
  <c r="F9" i="45"/>
  <c r="G9" i="45"/>
  <c r="I9" i="45"/>
  <c r="B10" i="45"/>
  <c r="C10" i="45"/>
  <c r="D10" i="45"/>
  <c r="G10" i="45" s="1"/>
  <c r="E10" i="45"/>
  <c r="F10" i="45"/>
  <c r="I10" i="45"/>
  <c r="B11" i="45"/>
  <c r="C11" i="45" s="1"/>
  <c r="D11" i="45" s="1"/>
  <c r="G11" i="45" s="1"/>
  <c r="F11" i="45"/>
  <c r="I11" i="45" s="1"/>
  <c r="B12" i="45"/>
  <c r="C12" i="45"/>
  <c r="F12" i="45"/>
  <c r="I12" i="45" s="1"/>
  <c r="B13" i="45"/>
  <c r="C13" i="45"/>
  <c r="E13" i="45" s="1"/>
  <c r="F13" i="45"/>
  <c r="I13" i="45"/>
  <c r="B14" i="45"/>
  <c r="C14" i="45"/>
  <c r="D14" i="45"/>
  <c r="G14" i="45" s="1"/>
  <c r="E14" i="45"/>
  <c r="F14" i="45"/>
  <c r="I14" i="45"/>
  <c r="B15" i="45"/>
  <c r="C15" i="45" s="1"/>
  <c r="D15" i="45" s="1"/>
  <c r="G15" i="45" s="1"/>
  <c r="E15" i="45"/>
  <c r="F15" i="45"/>
  <c r="I15" i="45" s="1"/>
  <c r="B16" i="45"/>
  <c r="C16" i="45"/>
  <c r="F16" i="45"/>
  <c r="I16" i="45" s="1"/>
  <c r="B17" i="45"/>
  <c r="C17" i="45"/>
  <c r="E17" i="45" s="1"/>
  <c r="D17" i="45"/>
  <c r="G17" i="45" s="1"/>
  <c r="F17" i="45"/>
  <c r="I17" i="45"/>
  <c r="B18" i="45"/>
  <c r="C18" i="45"/>
  <c r="D18" i="45"/>
  <c r="G18" i="45" s="1"/>
  <c r="E18" i="45"/>
  <c r="F18" i="45"/>
  <c r="I18" i="45"/>
  <c r="B19" i="45"/>
  <c r="C19" i="45" s="1"/>
  <c r="D19" i="45" s="1"/>
  <c r="E19" i="45"/>
  <c r="F19" i="45"/>
  <c r="I19" i="45" s="1"/>
  <c r="B20" i="45"/>
  <c r="C20" i="45"/>
  <c r="F20" i="45"/>
  <c r="I20" i="45" s="1"/>
  <c r="B21" i="45"/>
  <c r="C21" i="45"/>
  <c r="E21" i="45" s="1"/>
  <c r="D21" i="45"/>
  <c r="G21" i="45" s="1"/>
  <c r="F21" i="45"/>
  <c r="I21" i="45"/>
  <c r="B22" i="45"/>
  <c r="C22" i="45"/>
  <c r="D22" i="45"/>
  <c r="G22" i="45" s="1"/>
  <c r="E22" i="45"/>
  <c r="F22" i="45"/>
  <c r="I22" i="45"/>
  <c r="B23" i="45"/>
  <c r="C23" i="45" s="1"/>
  <c r="D23" i="45" s="1"/>
  <c r="E23" i="45"/>
  <c r="F23" i="45"/>
  <c r="I23" i="45" s="1"/>
  <c r="B24" i="45"/>
  <c r="C24" i="45" s="1"/>
  <c r="F24" i="45"/>
  <c r="I24" i="45" s="1"/>
  <c r="B25" i="45"/>
  <c r="C25" i="45"/>
  <c r="E25" i="45" s="1"/>
  <c r="D25" i="45"/>
  <c r="F25" i="45"/>
  <c r="G25" i="45"/>
  <c r="I25" i="45"/>
  <c r="B26" i="45"/>
  <c r="C26" i="45"/>
  <c r="D26" i="45"/>
  <c r="G26" i="45" s="1"/>
  <c r="E26" i="45"/>
  <c r="F26" i="45"/>
  <c r="I26" i="45"/>
  <c r="B27" i="45"/>
  <c r="C27" i="45" s="1"/>
  <c r="D27" i="45" s="1"/>
  <c r="G27" i="45" s="1"/>
  <c r="F27" i="45"/>
  <c r="I27" i="45" s="1"/>
  <c r="B28" i="45"/>
  <c r="C28" i="45"/>
  <c r="F28" i="45"/>
  <c r="I28" i="45" s="1"/>
  <c r="B29" i="45"/>
  <c r="C29" i="45"/>
  <c r="E29" i="45" s="1"/>
  <c r="F29" i="45"/>
  <c r="I29" i="45"/>
  <c r="B30" i="45"/>
  <c r="C30" i="45"/>
  <c r="D30" i="45"/>
  <c r="G30" i="45" s="1"/>
  <c r="E30" i="45"/>
  <c r="F30" i="45"/>
  <c r="I30" i="45"/>
  <c r="B31" i="45"/>
  <c r="C31" i="45" s="1"/>
  <c r="D31" i="45" s="1"/>
  <c r="G31" i="45" s="1"/>
  <c r="E31" i="45"/>
  <c r="F31" i="45"/>
  <c r="I31" i="45" s="1"/>
  <c r="B32" i="45"/>
  <c r="C32" i="45"/>
  <c r="F32" i="45"/>
  <c r="I32" i="45" s="1"/>
  <c r="B33" i="45"/>
  <c r="C33" i="45"/>
  <c r="E33" i="45" s="1"/>
  <c r="D33" i="45"/>
  <c r="G33" i="45" s="1"/>
  <c r="F33" i="45"/>
  <c r="I33" i="45"/>
  <c r="B34" i="45"/>
  <c r="C34" i="45"/>
  <c r="D34" i="45"/>
  <c r="G34" i="45" s="1"/>
  <c r="E34" i="45"/>
  <c r="F34" i="45"/>
  <c r="I34" i="45"/>
  <c r="B35" i="45"/>
  <c r="C35" i="45" s="1"/>
  <c r="D35" i="45" s="1"/>
  <c r="E35" i="45"/>
  <c r="F35" i="45"/>
  <c r="I35" i="45" s="1"/>
  <c r="B36" i="45"/>
  <c r="C36" i="45"/>
  <c r="F36" i="45"/>
  <c r="I36" i="45" s="1"/>
  <c r="B37" i="45"/>
  <c r="C37" i="45"/>
  <c r="E37" i="45" s="1"/>
  <c r="D37" i="45"/>
  <c r="G37" i="45" s="1"/>
  <c r="F37" i="45"/>
  <c r="I37" i="45"/>
  <c r="B38" i="45"/>
  <c r="C38" i="45"/>
  <c r="D38" i="45"/>
  <c r="G38" i="45" s="1"/>
  <c r="E38" i="45"/>
  <c r="F38" i="45"/>
  <c r="I38" i="45"/>
  <c r="B39" i="45"/>
  <c r="C39" i="45" s="1"/>
  <c r="D39" i="45" s="1"/>
  <c r="E39" i="45"/>
  <c r="F39" i="45"/>
  <c r="I39" i="45" s="1"/>
  <c r="B40" i="45"/>
  <c r="C40" i="45" s="1"/>
  <c r="F40" i="45"/>
  <c r="I40" i="45" s="1"/>
  <c r="B41" i="45"/>
  <c r="C41" i="45"/>
  <c r="E41" i="45" s="1"/>
  <c r="D41" i="45"/>
  <c r="F41" i="45"/>
  <c r="G41" i="45"/>
  <c r="I41" i="45"/>
  <c r="B42" i="45"/>
  <c r="C42" i="45"/>
  <c r="D42" i="45"/>
  <c r="G42" i="45" s="1"/>
  <c r="E42" i="45"/>
  <c r="F42" i="45"/>
  <c r="I42" i="45"/>
  <c r="B43" i="45"/>
  <c r="C43" i="45" s="1"/>
  <c r="D43" i="45" s="1"/>
  <c r="G43" i="45" s="1"/>
  <c r="F43" i="45"/>
  <c r="I43" i="45" s="1"/>
  <c r="B44" i="45"/>
  <c r="C44" i="45"/>
  <c r="F44" i="45"/>
  <c r="I44" i="45" s="1"/>
  <c r="B45" i="45"/>
  <c r="C45" i="45"/>
  <c r="E45" i="45" s="1"/>
  <c r="F45" i="45"/>
  <c r="I45" i="45"/>
  <c r="B46" i="45"/>
  <c r="C46" i="45"/>
  <c r="D46" i="45"/>
  <c r="G46" i="45" s="1"/>
  <c r="E46" i="45"/>
  <c r="F46" i="45"/>
  <c r="I46" i="45"/>
  <c r="L52" i="45"/>
  <c r="M52" i="45"/>
  <c r="N52" i="45"/>
  <c r="P52" i="45" s="1"/>
  <c r="O52" i="45"/>
  <c r="L53" i="45"/>
  <c r="M53" i="45"/>
  <c r="N53" i="45"/>
  <c r="P53" i="45" s="1"/>
  <c r="L54" i="45"/>
  <c r="M54" i="45"/>
  <c r="O54" i="45" s="1"/>
  <c r="N54" i="45"/>
  <c r="P54" i="45"/>
  <c r="L55" i="45"/>
  <c r="M55" i="45"/>
  <c r="N55" i="45"/>
  <c r="O55" i="45"/>
  <c r="P55" i="45"/>
  <c r="L56" i="45"/>
  <c r="M56" i="45"/>
  <c r="N56" i="45"/>
  <c r="P56" i="45" s="1"/>
  <c r="O56" i="45"/>
  <c r="L57" i="45"/>
  <c r="M57" i="45"/>
  <c r="N57" i="45"/>
  <c r="P57" i="45" s="1"/>
  <c r="L58" i="45"/>
  <c r="M58" i="45"/>
  <c r="O58" i="45" s="1"/>
  <c r="N58" i="45"/>
  <c r="P58" i="45"/>
  <c r="L59" i="45"/>
  <c r="M59" i="45"/>
  <c r="N59" i="45"/>
  <c r="O59" i="45"/>
  <c r="P59" i="45"/>
  <c r="L60" i="45"/>
  <c r="M60" i="45"/>
  <c r="N60" i="45"/>
  <c r="P60" i="45" s="1"/>
  <c r="O60" i="45"/>
  <c r="L61" i="45"/>
  <c r="M61" i="45"/>
  <c r="N61" i="45"/>
  <c r="P61" i="45" s="1"/>
  <c r="L62" i="45"/>
  <c r="M62" i="45"/>
  <c r="O62" i="45" s="1"/>
  <c r="N62" i="45"/>
  <c r="P62" i="45"/>
  <c r="L63" i="45"/>
  <c r="M63" i="45"/>
  <c r="N63" i="45"/>
  <c r="O63" i="45"/>
  <c r="P63" i="45"/>
  <c r="L64" i="45"/>
  <c r="M64" i="45"/>
  <c r="N64" i="45"/>
  <c r="P64" i="45" s="1"/>
  <c r="O64" i="45"/>
  <c r="L65" i="45"/>
  <c r="M65" i="45"/>
  <c r="N65" i="45"/>
  <c r="P65" i="45" s="1"/>
  <c r="L66" i="45"/>
  <c r="M66" i="45"/>
  <c r="O66" i="45" s="1"/>
  <c r="N66" i="45"/>
  <c r="P66" i="45"/>
  <c r="L67" i="45"/>
  <c r="M67" i="45"/>
  <c r="N67" i="45"/>
  <c r="O67" i="45"/>
  <c r="P67" i="45"/>
  <c r="L68" i="45"/>
  <c r="M68" i="45"/>
  <c r="N68" i="45"/>
  <c r="P68" i="45" s="1"/>
  <c r="O68" i="45"/>
  <c r="L69" i="45"/>
  <c r="M69" i="45"/>
  <c r="N69" i="45"/>
  <c r="P69" i="45" s="1"/>
  <c r="L70" i="45"/>
  <c r="M70" i="45"/>
  <c r="O70" i="45" s="1"/>
  <c r="N70" i="45"/>
  <c r="P70" i="45"/>
  <c r="L71" i="45"/>
  <c r="M71" i="45"/>
  <c r="N71" i="45"/>
  <c r="O71" i="45"/>
  <c r="P71" i="45"/>
  <c r="L72" i="45"/>
  <c r="M72" i="45"/>
  <c r="N72" i="45"/>
  <c r="P72" i="45" s="1"/>
  <c r="O72" i="45"/>
  <c r="L73" i="45"/>
  <c r="M73" i="45"/>
  <c r="N73" i="45"/>
  <c r="P73" i="45"/>
  <c r="L74" i="45"/>
  <c r="M74" i="45"/>
  <c r="N74" i="45"/>
  <c r="O74" i="45"/>
  <c r="P74" i="45"/>
  <c r="L75" i="45"/>
  <c r="M75" i="45"/>
  <c r="N75" i="45"/>
  <c r="P75" i="45" s="1"/>
  <c r="O75" i="45"/>
  <c r="L76" i="45"/>
  <c r="M76" i="45"/>
  <c r="O76" i="45" s="1"/>
  <c r="N76" i="45"/>
  <c r="P76" i="45" s="1"/>
  <c r="L77" i="45"/>
  <c r="M77" i="45"/>
  <c r="N77" i="45"/>
  <c r="P77" i="45" s="1"/>
  <c r="L78" i="45"/>
  <c r="M78" i="45"/>
  <c r="O78" i="45" s="1"/>
  <c r="N78" i="45"/>
  <c r="P78" i="45"/>
  <c r="L79" i="45"/>
  <c r="M79" i="45"/>
  <c r="N79" i="45"/>
  <c r="O79" i="45"/>
  <c r="P79" i="45"/>
  <c r="L80" i="45"/>
  <c r="M80" i="45"/>
  <c r="N80" i="45"/>
  <c r="P80" i="45" s="1"/>
  <c r="O80" i="45"/>
  <c r="L81" i="45"/>
  <c r="M81" i="45"/>
  <c r="N81" i="45"/>
  <c r="P81" i="45"/>
  <c r="L82" i="45"/>
  <c r="M82" i="45"/>
  <c r="N82" i="45"/>
  <c r="O82" i="45"/>
  <c r="P82" i="45"/>
  <c r="L83" i="45"/>
  <c r="M83" i="45"/>
  <c r="N83" i="45"/>
  <c r="P83" i="45" s="1"/>
  <c r="O83" i="45"/>
  <c r="L84" i="45"/>
  <c r="M84" i="45"/>
  <c r="O84" i="45" s="1"/>
  <c r="N84" i="45"/>
  <c r="P84" i="45" s="1"/>
  <c r="L85" i="45"/>
  <c r="M85" i="45"/>
  <c r="N85" i="45"/>
  <c r="P85" i="45" s="1"/>
  <c r="L86" i="45"/>
  <c r="M86" i="45"/>
  <c r="O86" i="45" s="1"/>
  <c r="N86" i="45"/>
  <c r="P86" i="45"/>
  <c r="L87" i="45"/>
  <c r="M87" i="45"/>
  <c r="N87" i="45"/>
  <c r="O87" i="45"/>
  <c r="P87" i="45"/>
  <c r="L88" i="45"/>
  <c r="M88" i="45"/>
  <c r="N88" i="45"/>
  <c r="P88" i="45" s="1"/>
  <c r="O88" i="45"/>
  <c r="L89" i="45"/>
  <c r="M89" i="45"/>
  <c r="N89" i="45"/>
  <c r="P89" i="45"/>
  <c r="L90" i="45"/>
  <c r="M90" i="45"/>
  <c r="N90" i="45"/>
  <c r="O90" i="45"/>
  <c r="P90" i="45"/>
  <c r="L91" i="45"/>
  <c r="M91" i="45"/>
  <c r="N91" i="45"/>
  <c r="P91" i="45" s="1"/>
  <c r="O91" i="45"/>
  <c r="L92" i="45"/>
  <c r="M92" i="45"/>
  <c r="O92" i="45" s="1"/>
  <c r="N92" i="45"/>
  <c r="P92" i="45" s="1"/>
  <c r="L93" i="45"/>
  <c r="M93" i="45"/>
  <c r="N93" i="45"/>
  <c r="P93" i="45" s="1"/>
  <c r="I9" i="44"/>
  <c r="K9" i="44" s="1"/>
  <c r="G9" i="44"/>
  <c r="I8" i="44"/>
  <c r="I7" i="44"/>
  <c r="G8" i="44"/>
  <c r="H8" i="44" s="1"/>
  <c r="G7" i="44"/>
  <c r="I6" i="44"/>
  <c r="K6" i="44" s="1"/>
  <c r="G6" i="44"/>
  <c r="I5" i="44"/>
  <c r="G5" i="44"/>
  <c r="K5" i="44"/>
  <c r="I4" i="44"/>
  <c r="G4" i="44"/>
  <c r="K4" i="44"/>
  <c r="M204" i="27"/>
  <c r="N204" i="27" s="1"/>
  <c r="M203" i="27"/>
  <c r="K204" i="27"/>
  <c r="K203" i="27"/>
  <c r="L204" i="27"/>
  <c r="M201" i="27"/>
  <c r="K201" i="27"/>
  <c r="O201" i="27"/>
  <c r="M202" i="27"/>
  <c r="K202" i="27"/>
  <c r="O202" i="27"/>
  <c r="M205" i="27"/>
  <c r="O205" i="27" s="1"/>
  <c r="K205" i="27"/>
  <c r="M200" i="27"/>
  <c r="K200" i="27"/>
  <c r="E288" i="27"/>
  <c r="D225" i="27"/>
  <c r="E225" i="27"/>
  <c r="F225" i="27"/>
  <c r="G225" i="27"/>
  <c r="D219" i="27"/>
  <c r="E219" i="27"/>
  <c r="F219" i="27"/>
  <c r="G219" i="27"/>
  <c r="H219" i="27" s="1"/>
  <c r="D222" i="27"/>
  <c r="G222" i="27" s="1"/>
  <c r="E222" i="27"/>
  <c r="F222" i="27"/>
  <c r="D200" i="27"/>
  <c r="H200" i="27" s="1"/>
  <c r="D201" i="27"/>
  <c r="H201" i="27"/>
  <c r="D202" i="27"/>
  <c r="H202" i="27" s="1"/>
  <c r="I203" i="27"/>
  <c r="D205" i="27"/>
  <c r="H205" i="27"/>
  <c r="I103" i="27"/>
  <c r="Q87" i="27"/>
  <c r="I102" i="27"/>
  <c r="Q86" i="27" s="1"/>
  <c r="R86" i="27" s="1"/>
  <c r="I100" i="27"/>
  <c r="J100" i="27" s="1"/>
  <c r="Q85" i="27" s="1"/>
  <c r="R85" i="27" s="1"/>
  <c r="I101" i="27"/>
  <c r="F243" i="27"/>
  <c r="G181" i="27"/>
  <c r="H181" i="27" s="1"/>
  <c r="E181" i="27"/>
  <c r="G182" i="27"/>
  <c r="E182" i="27"/>
  <c r="H182" i="27"/>
  <c r="M72" i="27"/>
  <c r="P85" i="27"/>
  <c r="M73" i="27"/>
  <c r="P86" i="27"/>
  <c r="M74" i="27"/>
  <c r="P87" i="27" s="1"/>
  <c r="R87" i="27"/>
  <c r="D203" i="27"/>
  <c r="H203" i="27" s="1"/>
  <c r="D204" i="27"/>
  <c r="H204" i="27"/>
  <c r="L91" i="33"/>
  <c r="L90" i="33"/>
  <c r="L89" i="33"/>
  <c r="L88" i="33"/>
  <c r="L87" i="33"/>
  <c r="L86" i="33"/>
  <c r="L85" i="33"/>
  <c r="L84" i="33"/>
  <c r="L83" i="33"/>
  <c r="L82" i="33"/>
  <c r="L81" i="33"/>
  <c r="L80" i="33"/>
  <c r="L79" i="33"/>
  <c r="L78" i="33"/>
  <c r="L77" i="33"/>
  <c r="L76" i="33"/>
  <c r="L75" i="33"/>
  <c r="L74" i="33"/>
  <c r="L73" i="33"/>
  <c r="L72" i="33"/>
  <c r="L71" i="33"/>
  <c r="L70" i="33"/>
  <c r="L69" i="33"/>
  <c r="L68" i="33"/>
  <c r="L67" i="33"/>
  <c r="L66" i="33"/>
  <c r="L65" i="33"/>
  <c r="L64" i="33"/>
  <c r="L63" i="33"/>
  <c r="L62" i="33"/>
  <c r="L61" i="33"/>
  <c r="L60" i="33"/>
  <c r="L59" i="33"/>
  <c r="L58" i="33"/>
  <c r="L57" i="33"/>
  <c r="L56" i="33"/>
  <c r="L55" i="33"/>
  <c r="L54" i="33"/>
  <c r="L53" i="33"/>
  <c r="L52" i="33"/>
  <c r="L51" i="33"/>
  <c r="L50" i="33"/>
  <c r="L49" i="33"/>
  <c r="L48" i="33"/>
  <c r="L47" i="33"/>
  <c r="L46" i="33"/>
  <c r="L45" i="33"/>
  <c r="L44" i="33"/>
  <c r="K77" i="34"/>
  <c r="K76" i="34"/>
  <c r="K75" i="34"/>
  <c r="K74" i="34"/>
  <c r="K73" i="34"/>
  <c r="K72" i="34"/>
  <c r="K71" i="34"/>
  <c r="K70" i="34"/>
  <c r="K69" i="34"/>
  <c r="K68" i="34"/>
  <c r="K67" i="34"/>
  <c r="K66" i="34"/>
  <c r="K65" i="34"/>
  <c r="K64" i="34"/>
  <c r="K63" i="34"/>
  <c r="K62" i="34"/>
  <c r="K61" i="34"/>
  <c r="K60" i="34"/>
  <c r="K59" i="34"/>
  <c r="K58" i="34"/>
  <c r="K57" i="34"/>
  <c r="K56" i="34"/>
  <c r="K55" i="34"/>
  <c r="K54" i="34"/>
  <c r="K53" i="34"/>
  <c r="K52" i="34"/>
  <c r="K51" i="34"/>
  <c r="K50" i="34"/>
  <c r="K49" i="34"/>
  <c r="K48" i="34"/>
  <c r="K47" i="34"/>
  <c r="K46" i="34"/>
  <c r="K45" i="34"/>
  <c r="K44" i="34"/>
  <c r="K43" i="34"/>
  <c r="K42" i="34"/>
  <c r="K41" i="34"/>
  <c r="K40" i="34"/>
  <c r="K39" i="34"/>
  <c r="K38" i="34"/>
  <c r="K37" i="34"/>
  <c r="K36" i="34"/>
  <c r="K35" i="34"/>
  <c r="K34" i="34"/>
  <c r="K33" i="34"/>
  <c r="K32" i="34"/>
  <c r="K31" i="34"/>
  <c r="K30" i="34"/>
  <c r="K29" i="34"/>
  <c r="K28" i="34"/>
  <c r="K27" i="34"/>
  <c r="K26" i="34"/>
  <c r="K25" i="34"/>
  <c r="K24" i="34"/>
  <c r="K23" i="34"/>
  <c r="K22" i="34"/>
  <c r="K21" i="34"/>
  <c r="K20" i="34"/>
  <c r="K19" i="34"/>
  <c r="K18" i="34"/>
  <c r="K17" i="34"/>
  <c r="K16" i="34"/>
  <c r="K15" i="34"/>
  <c r="K14" i="34"/>
  <c r="K13" i="34"/>
  <c r="K12" i="34"/>
  <c r="K11" i="34"/>
  <c r="K10" i="34"/>
  <c r="K9" i="34"/>
  <c r="K8" i="34"/>
  <c r="K7" i="34"/>
  <c r="K6" i="34"/>
  <c r="K5" i="34"/>
  <c r="K4" i="34"/>
  <c r="L23" i="33"/>
  <c r="M23" i="33"/>
  <c r="K23" i="33"/>
  <c r="L22" i="33"/>
  <c r="M22" i="33"/>
  <c r="K22" i="33"/>
  <c r="L21" i="33"/>
  <c r="M21" i="33" s="1"/>
  <c r="K21" i="33"/>
  <c r="L20" i="33"/>
  <c r="M20" i="33"/>
  <c r="K20" i="33"/>
  <c r="L19" i="33"/>
  <c r="M19" i="33"/>
  <c r="K19" i="33"/>
  <c r="L18" i="33"/>
  <c r="M18" i="33"/>
  <c r="K18" i="33"/>
  <c r="F45" i="22"/>
  <c r="I45" i="22" s="1"/>
  <c r="F46" i="22"/>
  <c r="G46" i="22" s="1"/>
  <c r="F47" i="22"/>
  <c r="I47" i="22" s="1"/>
  <c r="F48" i="22"/>
  <c r="I48" i="22" s="1"/>
  <c r="C26" i="26"/>
  <c r="D87" i="27"/>
  <c r="N87" i="27" s="1"/>
  <c r="I87" i="27"/>
  <c r="I96" i="27"/>
  <c r="D96" i="27"/>
  <c r="N21" i="27"/>
  <c r="N18" i="27"/>
  <c r="N15" i="27"/>
  <c r="S71" i="27"/>
  <c r="S72" i="27"/>
  <c r="S73" i="27"/>
  <c r="S74" i="27"/>
  <c r="S75" i="27"/>
  <c r="S76" i="27"/>
  <c r="S70" i="27"/>
  <c r="R71" i="27"/>
  <c r="R72" i="27"/>
  <c r="R73" i="27"/>
  <c r="R74" i="27"/>
  <c r="R75" i="27"/>
  <c r="R76" i="27"/>
  <c r="R70" i="27"/>
  <c r="Q71" i="27"/>
  <c r="Q72" i="27"/>
  <c r="Q73" i="27"/>
  <c r="Q74" i="27"/>
  <c r="Q75" i="27"/>
  <c r="Q76" i="27"/>
  <c r="Q70" i="27"/>
  <c r="P71" i="27"/>
  <c r="P72" i="27"/>
  <c r="P73" i="27"/>
  <c r="P74" i="27"/>
  <c r="P75" i="27"/>
  <c r="P76" i="27"/>
  <c r="P70" i="27"/>
  <c r="O71" i="27"/>
  <c r="O72" i="27"/>
  <c r="O73" i="27"/>
  <c r="O74" i="27"/>
  <c r="O75" i="27"/>
  <c r="O76" i="27"/>
  <c r="O70" i="27"/>
  <c r="L71" i="27"/>
  <c r="L72" i="27"/>
  <c r="L73" i="27"/>
  <c r="L74" i="27"/>
  <c r="L75" i="27"/>
  <c r="L76" i="27"/>
  <c r="L70" i="27"/>
  <c r="J71" i="27"/>
  <c r="J72" i="27"/>
  <c r="J73" i="27"/>
  <c r="J74" i="27"/>
  <c r="J75" i="27"/>
  <c r="J76" i="27"/>
  <c r="J70" i="27"/>
  <c r="H71" i="27"/>
  <c r="H72" i="27"/>
  <c r="H73" i="27"/>
  <c r="H74" i="27"/>
  <c r="H75" i="27"/>
  <c r="H76" i="27"/>
  <c r="H70" i="27"/>
  <c r="F71" i="27"/>
  <c r="F72" i="27"/>
  <c r="F73" i="27"/>
  <c r="F74" i="27"/>
  <c r="F75" i="27"/>
  <c r="F76" i="27"/>
  <c r="F70" i="27"/>
  <c r="D71" i="27"/>
  <c r="D72" i="27"/>
  <c r="D73" i="27"/>
  <c r="D74" i="27"/>
  <c r="D75" i="27"/>
  <c r="D76" i="27"/>
  <c r="D70" i="27"/>
  <c r="I58" i="27"/>
  <c r="S69" i="27" s="1"/>
  <c r="I57" i="27"/>
  <c r="R69" i="27"/>
  <c r="I56" i="27"/>
  <c r="Q69" i="27" s="1"/>
  <c r="I55" i="27"/>
  <c r="P69" i="27"/>
  <c r="I54" i="27"/>
  <c r="O69" i="27" s="1"/>
  <c r="J58" i="27"/>
  <c r="S68" i="27" s="1"/>
  <c r="J57" i="27"/>
  <c r="R68" i="27" s="1"/>
  <c r="J56" i="27"/>
  <c r="Q68" i="27" s="1"/>
  <c r="J55" i="27"/>
  <c r="P68" i="27" s="1"/>
  <c r="J54" i="27"/>
  <c r="O68" i="27"/>
  <c r="D40" i="45" l="1"/>
  <c r="G40" i="45" s="1"/>
  <c r="E40" i="45"/>
  <c r="D8" i="45"/>
  <c r="G8" i="45" s="1"/>
  <c r="E8" i="45"/>
  <c r="R88" i="27"/>
  <c r="Y106" i="34"/>
  <c r="D24" i="45"/>
  <c r="G24" i="45" s="1"/>
  <c r="E24" i="45"/>
  <c r="P204" i="27"/>
  <c r="D44" i="45"/>
  <c r="G44" i="45" s="1"/>
  <c r="E44" i="45"/>
  <c r="D12" i="45"/>
  <c r="G12" i="45" s="1"/>
  <c r="E12" i="45"/>
  <c r="F196" i="47"/>
  <c r="D196" i="47"/>
  <c r="E196" i="47" s="1"/>
  <c r="F169" i="47"/>
  <c r="D169" i="47"/>
  <c r="E169" i="47" s="1"/>
  <c r="G169" i="47" s="1"/>
  <c r="F153" i="47"/>
  <c r="D153" i="47"/>
  <c r="E153" i="47" s="1"/>
  <c r="F137" i="47"/>
  <c r="D137" i="47"/>
  <c r="E137" i="47" s="1"/>
  <c r="G137" i="47" s="1"/>
  <c r="G48" i="22"/>
  <c r="O93" i="45"/>
  <c r="O77" i="45"/>
  <c r="F173" i="47"/>
  <c r="D173" i="47"/>
  <c r="E173" i="47" s="1"/>
  <c r="F157" i="47"/>
  <c r="D157" i="47"/>
  <c r="E157" i="47" s="1"/>
  <c r="G157" i="47" s="1"/>
  <c r="F141" i="47"/>
  <c r="D141" i="47"/>
  <c r="E141" i="47" s="1"/>
  <c r="F103" i="47"/>
  <c r="D103" i="47"/>
  <c r="E103" i="47" s="1"/>
  <c r="G103" i="47" s="1"/>
  <c r="G47" i="22"/>
  <c r="I46" i="22"/>
  <c r="I49" i="22" s="1"/>
  <c r="J200" i="27"/>
  <c r="O200" i="27"/>
  <c r="J8" i="44"/>
  <c r="L8" i="44" s="1"/>
  <c r="D36" i="45"/>
  <c r="G36" i="45" s="1"/>
  <c r="E36" i="45"/>
  <c r="G35" i="45"/>
  <c r="D20" i="45"/>
  <c r="G20" i="45" s="1"/>
  <c r="E20" i="45"/>
  <c r="G19" i="45"/>
  <c r="Q9" i="46"/>
  <c r="F204" i="47"/>
  <c r="D204" i="47"/>
  <c r="E204" i="47" s="1"/>
  <c r="F193" i="47"/>
  <c r="D193" i="47"/>
  <c r="E193" i="47" s="1"/>
  <c r="G193" i="47" s="1"/>
  <c r="F177" i="47"/>
  <c r="D177" i="47"/>
  <c r="E177" i="47" s="1"/>
  <c r="F161" i="47"/>
  <c r="D161" i="47"/>
  <c r="E161" i="47" s="1"/>
  <c r="G161" i="47" s="1"/>
  <c r="F145" i="47"/>
  <c r="D145" i="47"/>
  <c r="E145" i="47" s="1"/>
  <c r="F129" i="47"/>
  <c r="D129" i="47"/>
  <c r="E129" i="47" s="1"/>
  <c r="G129" i="47" s="1"/>
  <c r="D113" i="47"/>
  <c r="E113" i="47" s="1"/>
  <c r="G113" i="47" s="1"/>
  <c r="F113" i="47"/>
  <c r="F87" i="47"/>
  <c r="D87" i="47"/>
  <c r="E87" i="47" s="1"/>
  <c r="G87" i="47" s="1"/>
  <c r="F77" i="47"/>
  <c r="D77" i="47"/>
  <c r="E77" i="47" s="1"/>
  <c r="H183" i="27"/>
  <c r="D28" i="45"/>
  <c r="G28" i="45" s="1"/>
  <c r="E28" i="45"/>
  <c r="F185" i="47"/>
  <c r="D185" i="47"/>
  <c r="E185" i="47" s="1"/>
  <c r="F119" i="47"/>
  <c r="D119" i="47"/>
  <c r="E119" i="47" s="1"/>
  <c r="G119" i="47" s="1"/>
  <c r="O85" i="45"/>
  <c r="D32" i="45"/>
  <c r="G32" i="45" s="1"/>
  <c r="E32" i="45"/>
  <c r="D16" i="45"/>
  <c r="G16" i="45" s="1"/>
  <c r="E16" i="45"/>
  <c r="F189" i="47"/>
  <c r="D189" i="47"/>
  <c r="E189" i="47" s="1"/>
  <c r="G189" i="47" s="1"/>
  <c r="G45" i="22"/>
  <c r="G49" i="22" s="1"/>
  <c r="O89" i="45"/>
  <c r="O81" i="45"/>
  <c r="O73" i="45"/>
  <c r="O69" i="45"/>
  <c r="O65" i="45"/>
  <c r="O61" i="45"/>
  <c r="O57" i="45"/>
  <c r="O53" i="45"/>
  <c r="O94" i="45" s="1"/>
  <c r="D45" i="45"/>
  <c r="G45" i="45" s="1"/>
  <c r="E43" i="45"/>
  <c r="G39" i="45"/>
  <c r="D29" i="45"/>
  <c r="G29" i="45" s="1"/>
  <c r="E27" i="45"/>
  <c r="G23" i="45"/>
  <c r="D13" i="45"/>
  <c r="G13" i="45" s="1"/>
  <c r="E11" i="45"/>
  <c r="G7" i="45"/>
  <c r="AC9" i="34"/>
  <c r="AE8" i="34"/>
  <c r="F200" i="47"/>
  <c r="D200" i="47"/>
  <c r="E200" i="47" s="1"/>
  <c r="F181" i="47"/>
  <c r="D181" i="47"/>
  <c r="E181" i="47" s="1"/>
  <c r="G181" i="47" s="1"/>
  <c r="F165" i="47"/>
  <c r="D165" i="47"/>
  <c r="E165" i="47" s="1"/>
  <c r="F149" i="47"/>
  <c r="D149" i="47"/>
  <c r="E149" i="47" s="1"/>
  <c r="G149" i="47" s="1"/>
  <c r="F133" i="47"/>
  <c r="D133" i="47"/>
  <c r="E133" i="47" s="1"/>
  <c r="D97" i="47"/>
  <c r="E97" i="47" s="1"/>
  <c r="F97" i="47"/>
  <c r="AF94" i="34"/>
  <c r="G203" i="47"/>
  <c r="D202" i="47"/>
  <c r="E202" i="47" s="1"/>
  <c r="F202" i="47"/>
  <c r="G199" i="47"/>
  <c r="D198" i="47"/>
  <c r="E198" i="47" s="1"/>
  <c r="G198" i="47" s="1"/>
  <c r="F198" i="47"/>
  <c r="G195" i="47"/>
  <c r="D194" i="47"/>
  <c r="E194" i="47" s="1"/>
  <c r="G194" i="47" s="1"/>
  <c r="F194" i="47"/>
  <c r="G191" i="47"/>
  <c r="D190" i="47"/>
  <c r="E190" i="47" s="1"/>
  <c r="F190" i="47"/>
  <c r="G187" i="47"/>
  <c r="D186" i="47"/>
  <c r="E186" i="47" s="1"/>
  <c r="F186" i="47"/>
  <c r="G183" i="47"/>
  <c r="D182" i="47"/>
  <c r="E182" i="47" s="1"/>
  <c r="G182" i="47" s="1"/>
  <c r="F182" i="47"/>
  <c r="G179" i="47"/>
  <c r="D178" i="47"/>
  <c r="E178" i="47" s="1"/>
  <c r="G178" i="47" s="1"/>
  <c r="F178" i="47"/>
  <c r="G175" i="47"/>
  <c r="D174" i="47"/>
  <c r="E174" i="47" s="1"/>
  <c r="F174" i="47"/>
  <c r="G171" i="47"/>
  <c r="D170" i="47"/>
  <c r="E170" i="47" s="1"/>
  <c r="F170" i="47"/>
  <c r="G167" i="47"/>
  <c r="D166" i="47"/>
  <c r="E166" i="47" s="1"/>
  <c r="G166" i="47" s="1"/>
  <c r="F166" i="47"/>
  <c r="G163" i="47"/>
  <c r="D162" i="47"/>
  <c r="E162" i="47" s="1"/>
  <c r="G162" i="47" s="1"/>
  <c r="F162" i="47"/>
  <c r="G159" i="47"/>
  <c r="D158" i="47"/>
  <c r="E158" i="47" s="1"/>
  <c r="F158" i="47"/>
  <c r="G155" i="47"/>
  <c r="D154" i="47"/>
  <c r="E154" i="47" s="1"/>
  <c r="F154" i="47"/>
  <c r="G151" i="47"/>
  <c r="D150" i="47"/>
  <c r="E150" i="47" s="1"/>
  <c r="G150" i="47" s="1"/>
  <c r="F150" i="47"/>
  <c r="G147" i="47"/>
  <c r="D146" i="47"/>
  <c r="E146" i="47" s="1"/>
  <c r="G146" i="47" s="1"/>
  <c r="F146" i="47"/>
  <c r="G143" i="47"/>
  <c r="D142" i="47"/>
  <c r="E142" i="47" s="1"/>
  <c r="F142" i="47"/>
  <c r="G139" i="47"/>
  <c r="D138" i="47"/>
  <c r="E138" i="47" s="1"/>
  <c r="F138" i="47"/>
  <c r="G135" i="47"/>
  <c r="D134" i="47"/>
  <c r="E134" i="47" s="1"/>
  <c r="G134" i="47" s="1"/>
  <c r="F134" i="47"/>
  <c r="G131" i="47"/>
  <c r="D130" i="47"/>
  <c r="E130" i="47" s="1"/>
  <c r="G130" i="47" s="1"/>
  <c r="F130" i="47"/>
  <c r="G127" i="47"/>
  <c r="D126" i="47"/>
  <c r="E126" i="47" s="1"/>
  <c r="F126" i="47"/>
  <c r="F123" i="47"/>
  <c r="D123" i="47"/>
  <c r="E123" i="47" s="1"/>
  <c r="D117" i="47"/>
  <c r="E117" i="47" s="1"/>
  <c r="F117" i="47"/>
  <c r="F107" i="47"/>
  <c r="D107" i="47"/>
  <c r="E107" i="47" s="1"/>
  <c r="D101" i="47"/>
  <c r="E101" i="47" s="1"/>
  <c r="F101" i="47"/>
  <c r="F91" i="47"/>
  <c r="D91" i="47"/>
  <c r="E91" i="47" s="1"/>
  <c r="F85" i="47"/>
  <c r="D85" i="47"/>
  <c r="E85" i="47" s="1"/>
  <c r="G85" i="47" s="1"/>
  <c r="G71" i="47"/>
  <c r="F50" i="47"/>
  <c r="D50" i="47"/>
  <c r="E50" i="47" s="1"/>
  <c r="G50" i="47" s="1"/>
  <c r="G39" i="47"/>
  <c r="F18" i="47"/>
  <c r="D18" i="47"/>
  <c r="E18" i="47" s="1"/>
  <c r="G7" i="47"/>
  <c r="D4" i="47"/>
  <c r="E4" i="47" s="1"/>
  <c r="G4" i="47" s="1"/>
  <c r="D8" i="47"/>
  <c r="E8" i="47" s="1"/>
  <c r="G8" i="47" s="1"/>
  <c r="D12" i="47"/>
  <c r="E12" i="47" s="1"/>
  <c r="G12" i="47" s="1"/>
  <c r="D16" i="47"/>
  <c r="E16" i="47" s="1"/>
  <c r="G16" i="47" s="1"/>
  <c r="D20" i="47"/>
  <c r="E20" i="47" s="1"/>
  <c r="G20" i="47" s="1"/>
  <c r="D24" i="47"/>
  <c r="E24" i="47" s="1"/>
  <c r="G24" i="47" s="1"/>
  <c r="D28" i="47"/>
  <c r="E28" i="47" s="1"/>
  <c r="G28" i="47" s="1"/>
  <c r="D32" i="47"/>
  <c r="E32" i="47" s="1"/>
  <c r="G32" i="47" s="1"/>
  <c r="D36" i="47"/>
  <c r="E36" i="47" s="1"/>
  <c r="G36" i="47" s="1"/>
  <c r="D40" i="47"/>
  <c r="E40" i="47" s="1"/>
  <c r="G40" i="47" s="1"/>
  <c r="D44" i="47"/>
  <c r="E44" i="47" s="1"/>
  <c r="G44" i="47" s="1"/>
  <c r="D48" i="47"/>
  <c r="E48" i="47" s="1"/>
  <c r="G48" i="47" s="1"/>
  <c r="D52" i="47"/>
  <c r="E52" i="47" s="1"/>
  <c r="G52" i="47" s="1"/>
  <c r="D56" i="47"/>
  <c r="E56" i="47" s="1"/>
  <c r="G56" i="47" s="1"/>
  <c r="D60" i="47"/>
  <c r="E60" i="47" s="1"/>
  <c r="G60" i="47" s="1"/>
  <c r="D64" i="47"/>
  <c r="E64" i="47" s="1"/>
  <c r="G64" i="47" s="1"/>
  <c r="D68" i="47"/>
  <c r="E68" i="47" s="1"/>
  <c r="G68" i="47" s="1"/>
  <c r="D72" i="47"/>
  <c r="E72" i="47" s="1"/>
  <c r="G72" i="47" s="1"/>
  <c r="D5" i="47"/>
  <c r="E5" i="47" s="1"/>
  <c r="G5" i="47" s="1"/>
  <c r="D9" i="47"/>
  <c r="E9" i="47" s="1"/>
  <c r="G9" i="47" s="1"/>
  <c r="D13" i="47"/>
  <c r="E13" i="47" s="1"/>
  <c r="G13" i="47" s="1"/>
  <c r="D17" i="47"/>
  <c r="E17" i="47" s="1"/>
  <c r="G17" i="47" s="1"/>
  <c r="D21" i="47"/>
  <c r="E21" i="47" s="1"/>
  <c r="G21" i="47" s="1"/>
  <c r="D25" i="47"/>
  <c r="E25" i="47" s="1"/>
  <c r="G25" i="47" s="1"/>
  <c r="D29" i="47"/>
  <c r="E29" i="47" s="1"/>
  <c r="G29" i="47" s="1"/>
  <c r="D33" i="47"/>
  <c r="E33" i="47" s="1"/>
  <c r="G33" i="47" s="1"/>
  <c r="D37" i="47"/>
  <c r="E37" i="47" s="1"/>
  <c r="G37" i="47" s="1"/>
  <c r="D41" i="47"/>
  <c r="E41" i="47" s="1"/>
  <c r="G41" i="47" s="1"/>
  <c r="D45" i="47"/>
  <c r="E45" i="47" s="1"/>
  <c r="G45" i="47" s="1"/>
  <c r="D49" i="47"/>
  <c r="E49" i="47" s="1"/>
  <c r="G49" i="47" s="1"/>
  <c r="D53" i="47"/>
  <c r="E53" i="47" s="1"/>
  <c r="G53" i="47" s="1"/>
  <c r="D57" i="47"/>
  <c r="E57" i="47" s="1"/>
  <c r="G57" i="47" s="1"/>
  <c r="D61" i="47"/>
  <c r="E61" i="47" s="1"/>
  <c r="G61" i="47" s="1"/>
  <c r="D65" i="47"/>
  <c r="E65" i="47" s="1"/>
  <c r="G65" i="47" s="1"/>
  <c r="D69" i="47"/>
  <c r="E69" i="47" s="1"/>
  <c r="G69" i="47" s="1"/>
  <c r="D73" i="47"/>
  <c r="E73" i="47" s="1"/>
  <c r="G73" i="47" s="1"/>
  <c r="D76" i="47"/>
  <c r="E76" i="47" s="1"/>
  <c r="G76" i="47" s="1"/>
  <c r="D90" i="47"/>
  <c r="E90" i="47" s="1"/>
  <c r="G90" i="47" s="1"/>
  <c r="D94" i="47"/>
  <c r="E94" i="47" s="1"/>
  <c r="G94" i="47" s="1"/>
  <c r="D98" i="47"/>
  <c r="E98" i="47" s="1"/>
  <c r="G98" i="47" s="1"/>
  <c r="D102" i="47"/>
  <c r="E102" i="47" s="1"/>
  <c r="G102" i="47" s="1"/>
  <c r="D106" i="47"/>
  <c r="E106" i="47" s="1"/>
  <c r="G106" i="47" s="1"/>
  <c r="D110" i="47"/>
  <c r="E110" i="47" s="1"/>
  <c r="G110" i="47" s="1"/>
  <c r="D114" i="47"/>
  <c r="E114" i="47" s="1"/>
  <c r="G114" i="47" s="1"/>
  <c r="D118" i="47"/>
  <c r="E118" i="47" s="1"/>
  <c r="G118" i="47" s="1"/>
  <c r="D122" i="47"/>
  <c r="E122" i="47" s="1"/>
  <c r="G122" i="47" s="1"/>
  <c r="D84" i="47"/>
  <c r="E84" i="47" s="1"/>
  <c r="G84" i="47" s="1"/>
  <c r="N8" i="46"/>
  <c r="R8" i="46" s="1"/>
  <c r="D192" i="47"/>
  <c r="E192" i="47" s="1"/>
  <c r="G192" i="47" s="1"/>
  <c r="D188" i="47"/>
  <c r="E188" i="47" s="1"/>
  <c r="G188" i="47" s="1"/>
  <c r="D184" i="47"/>
  <c r="E184" i="47" s="1"/>
  <c r="G184" i="47" s="1"/>
  <c r="D180" i="47"/>
  <c r="E180" i="47" s="1"/>
  <c r="G180" i="47" s="1"/>
  <c r="D176" i="47"/>
  <c r="E176" i="47" s="1"/>
  <c r="G176" i="47" s="1"/>
  <c r="D172" i="47"/>
  <c r="E172" i="47" s="1"/>
  <c r="G172" i="47" s="1"/>
  <c r="D168" i="47"/>
  <c r="E168" i="47" s="1"/>
  <c r="G168" i="47" s="1"/>
  <c r="D164" i="47"/>
  <c r="E164" i="47" s="1"/>
  <c r="G164" i="47" s="1"/>
  <c r="D160" i="47"/>
  <c r="E160" i="47" s="1"/>
  <c r="G160" i="47" s="1"/>
  <c r="D156" i="47"/>
  <c r="E156" i="47" s="1"/>
  <c r="G156" i="47" s="1"/>
  <c r="D152" i="47"/>
  <c r="E152" i="47" s="1"/>
  <c r="G152" i="47" s="1"/>
  <c r="D148" i="47"/>
  <c r="E148" i="47" s="1"/>
  <c r="G148" i="47" s="1"/>
  <c r="D144" i="47"/>
  <c r="E144" i="47" s="1"/>
  <c r="G144" i="47" s="1"/>
  <c r="D140" i="47"/>
  <c r="E140" i="47" s="1"/>
  <c r="G140" i="47" s="1"/>
  <c r="D136" i="47"/>
  <c r="E136" i="47" s="1"/>
  <c r="G136" i="47" s="1"/>
  <c r="D132" i="47"/>
  <c r="E132" i="47" s="1"/>
  <c r="G132" i="47" s="1"/>
  <c r="D128" i="47"/>
  <c r="E128" i="47" s="1"/>
  <c r="G128" i="47" s="1"/>
  <c r="D121" i="47"/>
  <c r="E121" i="47" s="1"/>
  <c r="G121" i="47" s="1"/>
  <c r="F121" i="47"/>
  <c r="F111" i="47"/>
  <c r="D111" i="47"/>
  <c r="E111" i="47" s="1"/>
  <c r="G111" i="47" s="1"/>
  <c r="D105" i="47"/>
  <c r="E105" i="47" s="1"/>
  <c r="G105" i="47" s="1"/>
  <c r="F105" i="47"/>
  <c r="F95" i="47"/>
  <c r="D95" i="47"/>
  <c r="E95" i="47" s="1"/>
  <c r="G95" i="47" s="1"/>
  <c r="D89" i="47"/>
  <c r="E89" i="47" s="1"/>
  <c r="G89" i="47" s="1"/>
  <c r="F89" i="47"/>
  <c r="D86" i="47"/>
  <c r="E86" i="47" s="1"/>
  <c r="G86" i="47" s="1"/>
  <c r="D83" i="47"/>
  <c r="E83" i="47" s="1"/>
  <c r="G83" i="47" s="1"/>
  <c r="F83" i="47"/>
  <c r="F78" i="47"/>
  <c r="D78" i="47"/>
  <c r="E78" i="47" s="1"/>
  <c r="G78" i="47" s="1"/>
  <c r="D74" i="47"/>
  <c r="E74" i="47" s="1"/>
  <c r="G74" i="47" s="1"/>
  <c r="D70" i="47"/>
  <c r="E70" i="47" s="1"/>
  <c r="G70" i="47" s="1"/>
  <c r="F55" i="47"/>
  <c r="D42" i="47"/>
  <c r="E42" i="47" s="1"/>
  <c r="G42" i="47" s="1"/>
  <c r="D38" i="47"/>
  <c r="E38" i="47" s="1"/>
  <c r="G38" i="47" s="1"/>
  <c r="F23" i="47"/>
  <c r="D10" i="47"/>
  <c r="E10" i="47" s="1"/>
  <c r="G10" i="47" s="1"/>
  <c r="D6" i="47"/>
  <c r="E6" i="47" s="1"/>
  <c r="G6" i="47" s="1"/>
  <c r="D125" i="47"/>
  <c r="E125" i="47" s="1"/>
  <c r="G125" i="47" s="1"/>
  <c r="F125" i="47"/>
  <c r="F115" i="47"/>
  <c r="D115" i="47"/>
  <c r="E115" i="47" s="1"/>
  <c r="G115" i="47" s="1"/>
  <c r="D109" i="47"/>
  <c r="E109" i="47" s="1"/>
  <c r="G109" i="47" s="1"/>
  <c r="F109" i="47"/>
  <c r="F99" i="47"/>
  <c r="D99" i="47"/>
  <c r="E99" i="47" s="1"/>
  <c r="G99" i="47" s="1"/>
  <c r="D93" i="47"/>
  <c r="E93" i="47" s="1"/>
  <c r="G93" i="47" s="1"/>
  <c r="F93" i="47"/>
  <c r="D82" i="47"/>
  <c r="E82" i="47" s="1"/>
  <c r="F82" i="47"/>
  <c r="F66" i="47"/>
  <c r="D66" i="47"/>
  <c r="E66" i="47" s="1"/>
  <c r="G55" i="47"/>
  <c r="F34" i="47"/>
  <c r="D34" i="47"/>
  <c r="E34" i="47" s="1"/>
  <c r="G34" i="47" s="1"/>
  <c r="G23" i="47"/>
  <c r="P174" i="31"/>
  <c r="D124" i="47"/>
  <c r="E124" i="47" s="1"/>
  <c r="G124" i="47" s="1"/>
  <c r="D120" i="47"/>
  <c r="E120" i="47" s="1"/>
  <c r="G120" i="47" s="1"/>
  <c r="D116" i="47"/>
  <c r="E116" i="47" s="1"/>
  <c r="G116" i="47" s="1"/>
  <c r="D112" i="47"/>
  <c r="E112" i="47" s="1"/>
  <c r="G112" i="47" s="1"/>
  <c r="D108" i="47"/>
  <c r="E108" i="47" s="1"/>
  <c r="G108" i="47" s="1"/>
  <c r="D104" i="47"/>
  <c r="E104" i="47" s="1"/>
  <c r="G104" i="47" s="1"/>
  <c r="D100" i="47"/>
  <c r="E100" i="47" s="1"/>
  <c r="G100" i="47" s="1"/>
  <c r="D96" i="47"/>
  <c r="E96" i="47" s="1"/>
  <c r="G96" i="47" s="1"/>
  <c r="D92" i="47"/>
  <c r="E92" i="47" s="1"/>
  <c r="G92" i="47" s="1"/>
  <c r="D88" i="47"/>
  <c r="E88" i="47" s="1"/>
  <c r="G88" i="47" s="1"/>
  <c r="D63" i="47"/>
  <c r="E63" i="47" s="1"/>
  <c r="G63" i="47" s="1"/>
  <c r="D47" i="47"/>
  <c r="E47" i="47" s="1"/>
  <c r="G47" i="47" s="1"/>
  <c r="D31" i="47"/>
  <c r="E31" i="47" s="1"/>
  <c r="G31" i="47" s="1"/>
  <c r="D15" i="47"/>
  <c r="E15" i="47" s="1"/>
  <c r="G15" i="47" s="1"/>
  <c r="D75" i="47"/>
  <c r="E75" i="47" s="1"/>
  <c r="G75" i="47" s="1"/>
  <c r="D67" i="47"/>
  <c r="E67" i="47" s="1"/>
  <c r="G67" i="47" s="1"/>
  <c r="D59" i="47"/>
  <c r="E59" i="47" s="1"/>
  <c r="G59" i="47" s="1"/>
  <c r="D51" i="47"/>
  <c r="E51" i="47" s="1"/>
  <c r="G51" i="47" s="1"/>
  <c r="D43" i="47"/>
  <c r="E43" i="47" s="1"/>
  <c r="G43" i="47" s="1"/>
  <c r="D35" i="47"/>
  <c r="E35" i="47" s="1"/>
  <c r="G35" i="47" s="1"/>
  <c r="D27" i="47"/>
  <c r="E27" i="47" s="1"/>
  <c r="G27" i="47" s="1"/>
  <c r="D19" i="47"/>
  <c r="E19" i="47" s="1"/>
  <c r="G19" i="47" s="1"/>
  <c r="D11" i="47"/>
  <c r="E11" i="47" s="1"/>
  <c r="G11" i="47" s="1"/>
  <c r="D3" i="47"/>
  <c r="E3" i="47" s="1"/>
  <c r="G3" i="47" s="1"/>
  <c r="G205" i="47" l="1"/>
  <c r="G126" i="47"/>
  <c r="G142" i="47"/>
  <c r="G158" i="47"/>
  <c r="G174" i="47"/>
  <c r="G82" i="47"/>
  <c r="G18" i="47"/>
  <c r="G91" i="47"/>
  <c r="G107" i="47"/>
  <c r="G123" i="47"/>
  <c r="G138" i="47"/>
  <c r="G154" i="47"/>
  <c r="G170" i="47"/>
  <c r="G186" i="47"/>
  <c r="G202" i="47"/>
  <c r="G97" i="47"/>
  <c r="AC10" i="34"/>
  <c r="AE9" i="34"/>
  <c r="G185" i="47"/>
  <c r="G153" i="47"/>
  <c r="G196" i="47"/>
  <c r="G101" i="47"/>
  <c r="G117" i="47"/>
  <c r="G190" i="47"/>
  <c r="G66" i="47"/>
  <c r="G133" i="47"/>
  <c r="G165" i="47"/>
  <c r="G200" i="47"/>
  <c r="G47" i="45"/>
  <c r="G77" i="47"/>
  <c r="G145" i="47"/>
  <c r="G177" i="47"/>
  <c r="G204" i="47"/>
  <c r="G141" i="47"/>
  <c r="G173" i="47"/>
  <c r="AC11" i="34" l="1"/>
  <c r="AE10" i="34"/>
  <c r="AC12" i="34" l="1"/>
  <c r="AE11" i="34"/>
  <c r="AC13" i="34" l="1"/>
  <c r="AE12" i="34"/>
  <c r="AE13" i="34" l="1"/>
  <c r="AC14" i="34"/>
  <c r="AC15" i="34" l="1"/>
  <c r="AE14" i="34"/>
  <c r="AE15" i="34" l="1"/>
  <c r="AC16" i="34"/>
  <c r="AC17" i="34" l="1"/>
  <c r="AE16" i="34"/>
  <c r="AC18" i="34" l="1"/>
  <c r="AE17" i="34"/>
  <c r="AC19" i="34" l="1"/>
  <c r="AE18" i="34"/>
  <c r="AC20" i="34" l="1"/>
  <c r="AE19" i="34"/>
  <c r="AC21" i="34" l="1"/>
  <c r="AE20" i="34"/>
  <c r="AC22" i="34" l="1"/>
  <c r="AE21" i="34"/>
  <c r="AC23" i="34" l="1"/>
  <c r="AE22" i="34"/>
  <c r="AE23" i="34" l="1"/>
  <c r="AC24" i="34"/>
  <c r="AC25" i="34" l="1"/>
  <c r="AE24" i="34"/>
  <c r="AC26" i="34" l="1"/>
  <c r="AE25" i="34"/>
  <c r="AC27" i="34" l="1"/>
  <c r="AE26" i="34"/>
  <c r="AC28" i="34" l="1"/>
  <c r="AE27" i="34"/>
  <c r="AC29" i="34" l="1"/>
  <c r="AE28" i="34"/>
  <c r="AE29" i="34" l="1"/>
  <c r="AC30" i="34"/>
  <c r="AC31" i="34" l="1"/>
  <c r="AE30" i="34"/>
  <c r="AC32" i="34" l="1"/>
  <c r="AE31" i="34"/>
  <c r="AC33" i="34" l="1"/>
  <c r="AE32" i="34"/>
  <c r="AC34" i="34" l="1"/>
  <c r="AE33" i="34"/>
  <c r="AC35" i="34" l="1"/>
  <c r="AE34" i="34"/>
  <c r="AC36" i="34" l="1"/>
  <c r="AE35" i="34"/>
  <c r="AC37" i="34" l="1"/>
  <c r="AE36" i="34"/>
  <c r="AE37" i="34" l="1"/>
  <c r="AC38" i="34"/>
  <c r="AC39" i="34" l="1"/>
  <c r="AE38" i="34"/>
  <c r="AC40" i="34" l="1"/>
  <c r="AE39" i="34"/>
  <c r="AC41" i="34" l="1"/>
  <c r="AE40" i="34"/>
  <c r="AC42" i="34" l="1"/>
  <c r="AE41" i="34"/>
  <c r="AC43" i="34" l="1"/>
  <c r="AE42" i="34"/>
  <c r="AC44" i="34" l="1"/>
  <c r="AE43" i="34"/>
  <c r="AC45" i="34" l="1"/>
  <c r="AE44" i="34"/>
  <c r="AE45" i="34" l="1"/>
  <c r="AC46" i="34"/>
  <c r="AC47" i="34" l="1"/>
  <c r="AE46" i="34"/>
  <c r="AC48" i="34" l="1"/>
  <c r="AE47" i="34"/>
  <c r="AC49" i="34" l="1"/>
  <c r="AE48" i="34"/>
  <c r="AC50" i="34" l="1"/>
  <c r="AE49" i="34"/>
  <c r="AC51" i="34" l="1"/>
  <c r="AE50" i="34"/>
  <c r="AE51" i="34" l="1"/>
  <c r="AC52" i="34"/>
  <c r="AE52" i="34" l="1"/>
  <c r="AC53" i="34"/>
  <c r="AE53" i="34" l="1"/>
  <c r="AC54" i="34"/>
  <c r="AC55" i="34" l="1"/>
  <c r="AE55" i="34" s="1"/>
  <c r="AE54" i="34"/>
</calcChain>
</file>

<file path=xl/comments1.xml><?xml version="1.0" encoding="utf-8"?>
<comments xmlns="http://schemas.openxmlformats.org/spreadsheetml/2006/main">
  <authors>
    <author>Peter Mohr</author>
  </authors>
  <commentList>
    <comment ref="G27" authorId="0">
      <text>
        <r>
          <rPr>
            <b/>
            <sz val="8"/>
            <color indexed="81"/>
            <rFont val="Tahoma"/>
            <family val="2"/>
          </rPr>
          <t>Peter Mohr:</t>
        </r>
        <r>
          <rPr>
            <sz val="8"/>
            <color indexed="81"/>
            <rFont val="Tahoma"/>
            <family val="2"/>
          </rPr>
          <t xml:space="preserve">
alle errechnet durch Summe Jahrringe pro Kronenklasse plus 1cm Rinde</t>
        </r>
      </text>
    </comment>
    <comment ref="H54" authorId="0">
      <text>
        <r>
          <rPr>
            <b/>
            <sz val="8"/>
            <color indexed="81"/>
            <rFont val="Tahoma"/>
            <family val="2"/>
          </rPr>
          <t>Peter Mohr:</t>
        </r>
        <r>
          <rPr>
            <sz val="8"/>
            <color indexed="81"/>
            <rFont val="Tahoma"/>
            <family val="2"/>
          </rPr>
          <t xml:space="preserve">
Cannell-Werte errechnet für Mittelstamm</t>
        </r>
      </text>
    </comment>
    <comment ref="E56" authorId="0">
      <text>
        <r>
          <rPr>
            <b/>
            <sz val="8"/>
            <color indexed="81"/>
            <rFont val="Tahoma"/>
            <family val="2"/>
          </rPr>
          <t>Peter Mohr:</t>
        </r>
        <r>
          <rPr>
            <sz val="8"/>
            <color indexed="81"/>
            <rFont val="Tahoma"/>
            <family val="2"/>
          </rPr>
          <t xml:space="preserve">
2 bis 12 m</t>
        </r>
      </text>
    </comment>
    <comment ref="I58" authorId="0">
      <text>
        <r>
          <rPr>
            <b/>
            <sz val="8"/>
            <color indexed="81"/>
            <rFont val="Tahoma"/>
            <family val="2"/>
          </rPr>
          <t>Peter Mohr:</t>
        </r>
        <r>
          <rPr>
            <sz val="8"/>
            <color indexed="81"/>
            <rFont val="Tahoma"/>
            <family val="2"/>
          </rPr>
          <t xml:space="preserve">
Mittelwert aus 9 Bäumen</t>
        </r>
      </text>
    </comment>
    <comment ref="U101" authorId="0">
      <text>
        <r>
          <rPr>
            <b/>
            <sz val="8"/>
            <color indexed="81"/>
            <rFont val="Tahoma"/>
            <family val="2"/>
          </rPr>
          <t>Peter Mohr:</t>
        </r>
        <r>
          <rPr>
            <sz val="8"/>
            <color indexed="81"/>
            <rFont val="Tahoma"/>
            <family val="2"/>
          </rPr>
          <t xml:space="preserve">
Cannell-Werte errechnet für Mittelstamm</t>
        </r>
      </text>
    </comment>
    <comment ref="R103" authorId="0">
      <text>
        <r>
          <rPr>
            <b/>
            <sz val="8"/>
            <color indexed="81"/>
            <rFont val="Tahoma"/>
            <family val="2"/>
          </rPr>
          <t>Peter Mohr:</t>
        </r>
        <r>
          <rPr>
            <sz val="8"/>
            <color indexed="81"/>
            <rFont val="Tahoma"/>
            <family val="2"/>
          </rPr>
          <t xml:space="preserve">
2 bis 12 m</t>
        </r>
      </text>
    </comment>
    <comment ref="V105" authorId="0">
      <text>
        <r>
          <rPr>
            <b/>
            <sz val="8"/>
            <color indexed="81"/>
            <rFont val="Tahoma"/>
            <family val="2"/>
          </rPr>
          <t>Peter Mohr:</t>
        </r>
        <r>
          <rPr>
            <sz val="8"/>
            <color indexed="81"/>
            <rFont val="Tahoma"/>
            <family val="2"/>
          </rPr>
          <t xml:space="preserve">
Mittelwert aus 9 Bäumen</t>
        </r>
      </text>
    </comment>
  </commentList>
</comments>
</file>

<file path=xl/comments2.xml><?xml version="1.0" encoding="utf-8"?>
<comments xmlns="http://schemas.openxmlformats.org/spreadsheetml/2006/main">
  <authors>
    <author>Peter Mohr</author>
  </authors>
  <commentList>
    <comment ref="H67" authorId="0">
      <text>
        <r>
          <rPr>
            <b/>
            <sz val="8"/>
            <color indexed="81"/>
            <rFont val="Tahoma"/>
            <family val="2"/>
          </rPr>
          <t>Peter Mohr:</t>
        </r>
        <r>
          <rPr>
            <sz val="8"/>
            <color indexed="81"/>
            <rFont val="Tahoma"/>
            <family val="2"/>
          </rPr>
          <t xml:space="preserve">
alle errechnet durch Summe Jahrringe pro Kronenklasse plus 1cm Rinde</t>
        </r>
      </text>
    </comment>
  </commentList>
</comments>
</file>

<file path=xl/comments3.xml><?xml version="1.0" encoding="utf-8"?>
<comments xmlns="http://schemas.openxmlformats.org/spreadsheetml/2006/main">
  <authors>
    <author>lasch</author>
  </authors>
  <commentList>
    <comment ref="C5" authorId="0">
      <text>
        <r>
          <rPr>
            <b/>
            <sz val="8"/>
            <color indexed="81"/>
            <rFont val="Tahoma"/>
            <family val="2"/>
          </rPr>
          <t>lasch:</t>
        </r>
        <r>
          <rPr>
            <sz val="8"/>
            <color indexed="81"/>
            <rFont val="Tahoma"/>
            <family val="2"/>
          </rPr>
          <t xml:space="preserve">
Funktion nach nagel BWINpro</t>
        </r>
      </text>
    </comment>
  </commentList>
</comments>
</file>

<file path=xl/comments4.xml><?xml version="1.0" encoding="utf-8"?>
<comments xmlns="http://schemas.openxmlformats.org/spreadsheetml/2006/main">
  <authors>
    <author>lasch</author>
  </authors>
  <commentList>
    <comment ref="D1" authorId="0">
      <text>
        <r>
          <rPr>
            <b/>
            <sz val="8"/>
            <color indexed="81"/>
            <rFont val="Tahoma"/>
            <family val="2"/>
          </rPr>
          <t>lasch:</t>
        </r>
        <r>
          <rPr>
            <sz val="8"/>
            <color indexed="81"/>
            <rFont val="Tahoma"/>
            <family val="2"/>
          </rPr>
          <t xml:space="preserve">
Bwinpro mit H100</t>
        </r>
      </text>
    </comment>
  </commentList>
</comments>
</file>

<file path=xl/sharedStrings.xml><?xml version="1.0" encoding="utf-8"?>
<sst xmlns="http://schemas.openxmlformats.org/spreadsheetml/2006/main" count="2599" uniqueCount="987">
  <si>
    <t>Ranger, J., R. Marques, et al. (1997). "Nutrient dynamics during the development of a Douglas-fir (Pseudotsuga menziesii Mirb) stand." Acta Oecologica-International Journal Of Ecology 18(2): 73-90.</t>
  </si>
  <si>
    <t>standing crops of live and dead fine roots in Mg/ha (t/ha)</t>
  </si>
  <si>
    <t>Calculation</t>
  </si>
  <si>
    <t>max mineral Uptake (kg ha-1 year -1)</t>
  </si>
  <si>
    <t>min mineral Uptake (kg ha-1 year -1)</t>
  </si>
  <si>
    <t>Nippert, J. B. and J. D. Marshall (2003). "Sources of variation in ecophysiological parameters in Douglas-fir and grand fir canopies." Tree Physiology 23(9): 591-601.</t>
  </si>
  <si>
    <t>Duursma, R. A., J. D. Marshall, et al. (2005). "Estimating leaf-level parameters for ecosystem process models: a study in mixed conifer canopies on complex terrain." Tree Physiology 25(11): 1347-1359.</t>
  </si>
  <si>
    <t>SLA (reciprocal of LMA)</t>
  </si>
  <si>
    <t>4,439 from Duursma et al. 2005????</t>
  </si>
  <si>
    <t>mean LMA</t>
  </si>
  <si>
    <t>227,7  g/m²</t>
  </si>
  <si>
    <t>note: mean LMA values should be collected from the mid-crown to have best representative mean value!</t>
  </si>
  <si>
    <r>
      <t>Waring, R. H. and N. McDowell (2002); Bartelink, H. H. (1996); Mohren, G. M. J. and H. H. Bartelink (1990); Maguire, D. A. and W. S. Bennett (1996); Bartelink, H. H., K. Kramer, et al. (1997); Dekker, M., M. van Breugel, et al. (2007);</t>
    </r>
    <r>
      <rPr>
        <b/>
        <sz val="10"/>
        <rFont val="Arial"/>
        <family val="2"/>
      </rPr>
      <t xml:space="preserve"> Duursma, R. A., J. D. Marshall, et al. (2005)</t>
    </r>
  </si>
  <si>
    <t>Nippert, J. B. and J. D. Marshall (2003)</t>
  </si>
  <si>
    <t>only this reference used (until now)</t>
  </si>
  <si>
    <t>mean mineral Uptake (kg ha-1 year -1)</t>
  </si>
  <si>
    <t>root activity rate calculation: mean mineral N uptake / mean fine root biomass produced per year according to Ranger, J., R. Marques, et al. (1997) 7500 t (see above)</t>
  </si>
  <si>
    <t>root activity rate calculation: mean mineral N uptake / mean fine root biomass produced per year according to Ranger, J. and D. Gelhaye (2001) 2100 t (see above)</t>
  </si>
  <si>
    <t>Mean root activity rate</t>
  </si>
  <si>
    <t>Further calculation possible with values from Santantonio, D. and R. K. Hermann (1985) see above (approx. 4,5 t)</t>
  </si>
  <si>
    <t>prg</t>
  </si>
  <si>
    <t>Value</t>
  </si>
  <si>
    <t>0.17-0.42</t>
  </si>
  <si>
    <t>personal conclusion</t>
  </si>
  <si>
    <t>shade tolerance coeffcient of douglas fir on scale 1-5 (1=shade intolerant, 5=shade tolerant)</t>
  </si>
  <si>
    <t>3.0-4.0</t>
  </si>
  <si>
    <t>0.25</t>
  </si>
  <si>
    <t>prms</t>
  </si>
  <si>
    <t>table 2;3;4</t>
  </si>
  <si>
    <t>prmr</t>
  </si>
  <si>
    <t>Bartelink, H. H. (2000). "A growth model for mixed forest stands." Forest Ecology and Management 134(1-3): 29-43.</t>
  </si>
  <si>
    <r>
      <t>5 foliage age classes, 0,2 y-</t>
    </r>
    <r>
      <rPr>
        <sz val="10"/>
        <color indexed="10"/>
        <rFont val="Arial"/>
        <family val="2"/>
      </rPr>
      <t>2(?) Foliage loss coefficient</t>
    </r>
  </si>
  <si>
    <t>psf</t>
  </si>
  <si>
    <t xml:space="preserve">Bartelink, H. H. (2000); </t>
  </si>
  <si>
    <t>pss</t>
  </si>
  <si>
    <t>c</t>
  </si>
  <si>
    <t>sapwood rings 20, sapwood relative loss rate (rlr) 0.05 y-1</t>
  </si>
  <si>
    <t>0.05</t>
  </si>
  <si>
    <t>psr</t>
  </si>
  <si>
    <t>fine root relative loss rate = 0.75 y-1</t>
  </si>
  <si>
    <r>
      <t xml:space="preserve">Fine root biomass: </t>
    </r>
    <r>
      <rPr>
        <sz val="10"/>
        <color indexed="10"/>
        <rFont val="Arial"/>
        <family val="2"/>
      </rPr>
      <t xml:space="preserve">2.8 </t>
    </r>
    <r>
      <rPr>
        <sz val="10"/>
        <color indexed="48"/>
        <rFont val="Arial"/>
        <family val="2"/>
      </rPr>
      <t>kg</t>
    </r>
    <r>
      <rPr>
        <sz val="10"/>
        <color indexed="10"/>
        <rFont val="Arial"/>
        <family val="2"/>
      </rPr>
      <t xml:space="preserve"> dry weight ?</t>
    </r>
  </si>
  <si>
    <t>Waring, R. H. and N. McDowell (2002). "Use of a physiological process model with forestry yield tables to set limits on annual carbon balances." Tree Physiology 22(2-3): 179-188.</t>
  </si>
  <si>
    <t>SLA = 6 m2 kg-1 (from Matson et al. 1994)</t>
  </si>
  <si>
    <t>psla_min</t>
  </si>
  <si>
    <t>foliage turnover = 0.25y-1</t>
  </si>
  <si>
    <t>0.2-0.25</t>
  </si>
  <si>
    <t>Bartelink, H. H. (1996). "Allometric relationships on biomass and needle area of Douglas-fir." Forest Ecology and Management 86(1-3): 193-203.</t>
  </si>
  <si>
    <t>SLA=5.63 m2 kg-1</t>
  </si>
  <si>
    <t>Fichte</t>
  </si>
  <si>
    <t>Höhe [cm]</t>
  </si>
  <si>
    <t>%</t>
  </si>
  <si>
    <t>zweijährige,</t>
  </si>
  <si>
    <t>S</t>
  </si>
  <si>
    <t>+</t>
  </si>
  <si>
    <t>verschulte</t>
  </si>
  <si>
    <t>Höhenzuwachs [cm]</t>
  </si>
  <si>
    <t>Pflanzen</t>
  </si>
  <si>
    <t>+++</t>
  </si>
  <si>
    <t>auch</t>
  </si>
  <si>
    <t>Sproßgewicht [g]</t>
  </si>
  <si>
    <t>anwendbar</t>
  </si>
  <si>
    <t>für Douglasie</t>
  </si>
  <si>
    <t>++</t>
  </si>
  <si>
    <t>0</t>
  </si>
  <si>
    <t>Wurzelgewicht [g]</t>
  </si>
  <si>
    <t>Nadelgewicht [g]</t>
  </si>
  <si>
    <t>Gesamtgewicht [g]</t>
  </si>
  <si>
    <t>N</t>
  </si>
  <si>
    <t>Tabelle 4:</t>
  </si>
  <si>
    <r>
      <t xml:space="preserve">Absolute und relative Gewichte </t>
    </r>
    <r>
      <rPr>
        <sz val="10"/>
        <rFont val="MS Sans Serif"/>
        <family val="2"/>
      </rPr>
      <t>(in Gramm [g] TS und %) der Pflanzen und der einzelnen Pflanzenteile nach einer Kultur unter verschiedenen Lichtbedingungen</t>
    </r>
  </si>
  <si>
    <t>(+/- Wert = Streuung; N = Anzahl der ausgewerteten Pflanzen; S = Signifikanz der Differenz)</t>
  </si>
  <si>
    <t>Schattenstufe</t>
  </si>
  <si>
    <t>I</t>
  </si>
  <si>
    <t>II</t>
  </si>
  <si>
    <t>III</t>
  </si>
  <si>
    <t>IV</t>
  </si>
  <si>
    <t>(Bemerkung)</t>
  </si>
  <si>
    <t>% der Freilandhelligkeit</t>
  </si>
  <si>
    <t>Streuung</t>
  </si>
  <si>
    <t>Lyr, Horst, Hoffmann, Günter und Engel, Werner (1964): Über den Einfluß unterschiedlicher Beschattung auf die Stoffproduktion von Jungpflanzen einiger Waldbäume (II. Mitteilung). Flora, Jena 155, S. 305-330</t>
  </si>
  <si>
    <t>Lyr, H., Hoffmann, G. und Dohse, K. (1963): Über den Einfluß unterscheidlicher Beschattung auf die Stoffproduktion von Jungpflanzen einiger Waldbäume (I. Mitteilung). Flora, Jena 153, S. 291-311</t>
  </si>
  <si>
    <t>Tabelle 7:</t>
  </si>
  <si>
    <t>LAI range for Rocky mountain douglas-fir forests und er numerous treatments 5,4-8,7 m2*m-2 and averaged at 7</t>
  </si>
  <si>
    <t>Thornton, P. E., B. E. Law, et al. (2002); Korol, R. L., S. W. Running, et al. (1995); Korol, R. L., K. S. Milner, et al. (1996); Gower, S. T., K. A. Vogt, et al. (1992)</t>
  </si>
  <si>
    <r>
      <t>Zunahme der Trockensubstanz</t>
    </r>
    <r>
      <rPr>
        <sz val="10"/>
        <rFont val="MS Sans Serif"/>
        <family val="2"/>
      </rPr>
      <t xml:space="preserve"> der Versuchspflanzen im Jahre 1962 in Prozent des Ausgangsgewichtes bei verschiedener Beschattung.</t>
    </r>
  </si>
  <si>
    <t>(Bei den Laubgehölzen und bei der Lärche bezieht sich der Gesamtzuwachs nur auf Wurzel und Sproßachse, da das Ausgangsblattgewicht</t>
  </si>
  <si>
    <t xml:space="preserve">nicht bestimmbar war.) Das Wurzel/Sproß-Verhältnis wurde aus den Gewichten von Wurzel/ Sproßachse und Blättern errechnet. </t>
  </si>
  <si>
    <t>Die in Klammern gesetzten Baumarten befanden sich zwei Jahre unter den vorliegenden Versuchsbedingungen.</t>
  </si>
  <si>
    <t>(Douglasie)</t>
  </si>
  <si>
    <t>Gesamtzuwachs</t>
  </si>
  <si>
    <t>Wurzelzuwachs</t>
  </si>
  <si>
    <t>Wurzel/Sproß-Relation</t>
  </si>
  <si>
    <r>
      <t>Anmerkung aus dem Text:</t>
    </r>
    <r>
      <rPr>
        <sz val="10"/>
        <rFont val="MS Sans Serif"/>
        <family val="2"/>
      </rPr>
      <t xml:space="preserve"> durch die Anzucht in Töpfen traten insbesondere bei den Voll-Lichtvarianten von Birke, Lärche und Roteiche </t>
    </r>
  </si>
  <si>
    <t>Nährstoffmangelerscheinungen auf (vor allem N), so daß diese Werte als zu gering, vor allem für das zweite Jahr bei Birke und Roteiche angesehen werden müssen !!</t>
  </si>
  <si>
    <t>Ponette, Q., J. Ranger, et al. (2001). "Aboveground biomass and nutrient content of five Douglas-fir stands in France." Forest Ecology And Management 142(1-3): 109-127.</t>
  </si>
  <si>
    <t>5 gleichaltrige DG-Bestände in Frankreich</t>
  </si>
  <si>
    <t>Table 1: Main stand and tree characteristics (winter 1997-1998)</t>
  </si>
  <si>
    <t>Plot</t>
  </si>
  <si>
    <t>Stand</t>
  </si>
  <si>
    <t>Mean tree</t>
  </si>
  <si>
    <t>Age  b</t>
  </si>
  <si>
    <t>Density</t>
  </si>
  <si>
    <t>Volume  c</t>
  </si>
  <si>
    <t>Basal area  d</t>
  </si>
  <si>
    <t>DBH</t>
  </si>
  <si>
    <t>Height</t>
  </si>
  <si>
    <t>(years)</t>
  </si>
  <si>
    <t>(No. per ha)</t>
  </si>
  <si>
    <t>(m3 per ha)</t>
  </si>
  <si>
    <t>(m2 per ha)</t>
  </si>
  <si>
    <t>(dm3)</t>
  </si>
  <si>
    <t>(dm2)</t>
  </si>
  <si>
    <t>DOU 71</t>
  </si>
  <si>
    <t>DOU 23</t>
  </si>
  <si>
    <t>DOU 69</t>
  </si>
  <si>
    <t>DOU 61</t>
  </si>
  <si>
    <t>DOU 34</t>
  </si>
  <si>
    <t>a</t>
  </si>
  <si>
    <t>Mean of individual tree values obtained from the stand inventory</t>
  </si>
  <si>
    <t>b</t>
  </si>
  <si>
    <t>Determined at the tree base</t>
  </si>
  <si>
    <t>Commercial volume (over bark volume, 7 cm diameter at the small end</t>
  </si>
  <si>
    <t>d</t>
  </si>
  <si>
    <t>Measured at breast height</t>
  </si>
  <si>
    <t>Table 6: Aboveground biomass in hte various components of the stands</t>
  </si>
  <si>
    <t>Estimations!!</t>
  </si>
  <si>
    <t>Component</t>
  </si>
  <si>
    <t>26y.</t>
  </si>
  <si>
    <t>28y.</t>
  </si>
  <si>
    <t>29y.</t>
  </si>
  <si>
    <t>36y.</t>
  </si>
  <si>
    <t>54y.</t>
  </si>
  <si>
    <t>DOU 71 biomass</t>
  </si>
  <si>
    <t>DOU 23 biomass</t>
  </si>
  <si>
    <t>DOU 69 biomass</t>
  </si>
  <si>
    <t>DOU 61 biomass</t>
  </si>
  <si>
    <t>DOU 34 biomass</t>
  </si>
  <si>
    <t>(t ha-1)</t>
  </si>
  <si>
    <t>(%)</t>
  </si>
  <si>
    <t>Stemwood</t>
  </si>
  <si>
    <t>Stembark</t>
  </si>
  <si>
    <t>Total stem</t>
  </si>
  <si>
    <t>Branchwood</t>
  </si>
  <si>
    <t>Needles</t>
  </si>
  <si>
    <t>Total crown</t>
  </si>
  <si>
    <t>Total tree</t>
  </si>
  <si>
    <t>Table 7: Mean concentrations of major nutrients in the various components</t>
  </si>
  <si>
    <t>Age</t>
  </si>
  <si>
    <t>P</t>
  </si>
  <si>
    <t>K</t>
  </si>
  <si>
    <t>Ca</t>
  </si>
  <si>
    <t>Mg</t>
  </si>
  <si>
    <t>(g kg-1)</t>
  </si>
  <si>
    <t>kg per tree (mean)</t>
  </si>
  <si>
    <t>3 Douglasien-Bestände in den Beaujolais-Bergen Frankreichs</t>
  </si>
  <si>
    <t>Table 1: Stand characteristics (mean+/-SD)</t>
  </si>
  <si>
    <t>Stand age</t>
  </si>
  <si>
    <t>SD</t>
  </si>
  <si>
    <t>Height (m)</t>
  </si>
  <si>
    <t>CBH (cm)</t>
  </si>
  <si>
    <t>Stand density (no. Trees per ha)</t>
  </si>
  <si>
    <t>Table 3: Foliar analysis data for the current year needles in 1991 (data expressed as percentage of dry matter at 65°C)</t>
  </si>
  <si>
    <t>Stand age (years)</t>
  </si>
  <si>
    <t>Ref. For Douglas-fir (Bonneau, 1988)</t>
  </si>
  <si>
    <t>1.5-1.9</t>
  </si>
  <si>
    <t>0.15-0.16</t>
  </si>
  <si>
    <t>0.6-0.8</t>
  </si>
  <si>
    <t>0.3-0.5</t>
  </si>
  <si>
    <t>0.1-0.14</t>
  </si>
  <si>
    <t>Table 4: Mean concentration of major nutrients in the various components according to stand age (data expressed as percentage of dry matter).</t>
  </si>
  <si>
    <t>Standard deviation is given in parenthesis</t>
  </si>
  <si>
    <t>Mn</t>
  </si>
  <si>
    <t>age (years)</t>
  </si>
  <si>
    <t>Branches</t>
  </si>
  <si>
    <t>Needles 1 year</t>
  </si>
  <si>
    <t>Needles &gt; 1 year</t>
  </si>
  <si>
    <t>Branchwood 1 year</t>
  </si>
  <si>
    <t>Branchwood &gt; 1 year</t>
  </si>
  <si>
    <t>Stem</t>
  </si>
  <si>
    <t>Chen, H., M. E. Harmon, et al. (2001). "Decomposition and nitrogen release from decomposing woody roots in coniferous forests of the Pacific Northwest: a chronosequence approach." Canadian Journal Of Forest Research-Revue Canadienne De Recherche Forestiere 31(2): 246-260.</t>
  </si>
  <si>
    <t>Probeflächen im Bundesstaat Oregon, USA</t>
  </si>
  <si>
    <t>Entnahme mehrerer Wurzel-Proben</t>
  </si>
  <si>
    <t>bei DG zwischen Alter 8 und 45 Jahre</t>
  </si>
  <si>
    <t>Table 5. Chemical characteristics of fresh woody roots for two size classes</t>
  </si>
  <si>
    <t>Species</t>
  </si>
  <si>
    <t>N (%)</t>
  </si>
  <si>
    <t>C (%)</t>
  </si>
  <si>
    <t>C/N</t>
  </si>
  <si>
    <t>NPE (%)</t>
  </si>
  <si>
    <t>WS sugar (%)</t>
  </si>
  <si>
    <t>WS phenols (%)</t>
  </si>
  <si>
    <t>AH Cellulose (%)</t>
  </si>
  <si>
    <t>ARF lignin (%)</t>
  </si>
  <si>
    <t>Lignin + cellulose (%)</t>
  </si>
  <si>
    <t>Lignin/ N ratio</t>
  </si>
  <si>
    <t>Cellulose/ N ratio</t>
  </si>
  <si>
    <t>LCI ratio</t>
  </si>
  <si>
    <t>(Lignin+cellulose)/N ratio</t>
  </si>
  <si>
    <t>Small roots (diameter 1-5 cm)</t>
  </si>
  <si>
    <t>Douglas-fir</t>
  </si>
  <si>
    <t>Western hemlock</t>
  </si>
  <si>
    <t>Lodgepole pine</t>
  </si>
  <si>
    <t>Ponderosa pine</t>
  </si>
  <si>
    <t>Large roots (diameter 5-10 cm)</t>
  </si>
  <si>
    <t xml:space="preserve">Note: NPE, nonpolar extratables (fats, oils, and waxes); WS sugar, water soluble carbohydrate; WS phenols, water soluble phenols, expressed as % </t>
  </si>
  <si>
    <t>tannic acid equivalents; AH cellulose, acidhydrolzable cellulose and hemicellulose; ARF lignin, acid-resistant fraction including lignin and other recalcitrant</t>
  </si>
  <si>
    <t>carbon, referred to as lignin; LCI ration = Lignin/(cellulose+lignin)</t>
  </si>
  <si>
    <t>pncr</t>
  </si>
  <si>
    <t>C content</t>
  </si>
  <si>
    <t xml:space="preserve">foliage </t>
  </si>
  <si>
    <t>fine roots</t>
  </si>
  <si>
    <t>coarse roots</t>
  </si>
  <si>
    <t>twigs and branches</t>
  </si>
  <si>
    <t xml:space="preserve">stemwood   </t>
  </si>
  <si>
    <t>mean</t>
  </si>
  <si>
    <t>sum total stem</t>
  </si>
  <si>
    <t>175.76</t>
  </si>
  <si>
    <t>21.56</t>
  </si>
  <si>
    <t>16.51</t>
  </si>
  <si>
    <t>N content g kg-1</t>
  </si>
  <si>
    <t>dry mass t ha-1</t>
  </si>
  <si>
    <t>Gower, S. T., K. A. Vogt, et al. (1992). "Carbon Dynamics of Rocky-Mountain Douglas-Fir - Influence of Water and Nutrient Availability." Ecological Monographs 62(1): 43-65.</t>
  </si>
  <si>
    <t>fine rot (&lt;5mm) biomass= 3.99 t ha-1</t>
  </si>
  <si>
    <t>average needle longevity: Rocky Mountain Douglas fir 7-8 years; lowland Douglas fir 4-5 years</t>
  </si>
  <si>
    <t>Mohren, G. M. J., C. P. Vangerwen, et al. (1984). "Simulation of Primary Production in Even-Aged Stands of Douglas-Fir." Forest Ecology and Management 9(1): 27-49.</t>
  </si>
  <si>
    <t>0,025 t ch2o t-1 dry wt. Year-1 for stemwood (only sapwood)</t>
  </si>
  <si>
    <t>calculation</t>
  </si>
  <si>
    <t>KÜNSTLE, E. UND MITSCHERLICH, G. 1975a; KÜNSTLE, E. UND MITSCHERLICH, G. 1975b; KÜNSTLE, E. UND MITSCHERLICH, G. 1976; KÜNSTLE, E. UND MITSCHERLICH, G. 1977; Pruyn, M. L., M. E. Harmon, et al. (2003); Mohren, G. M. J., C. P. Vangerwen, et al. (1984)</t>
  </si>
  <si>
    <t>0,1 t ch2o t-1 dry wt. Year-1 for root biomass (not only fine roots)</t>
  </si>
  <si>
    <t>Harmon, M. E., K. Bible, et al. (2004); Mohren, G. M. J., C. P. Vangerwen, et al. (1984)</t>
  </si>
  <si>
    <t>needle life span 5 years</t>
  </si>
  <si>
    <r>
      <t>approximation:</t>
    </r>
    <r>
      <rPr>
        <sz val="10"/>
        <rFont val="Arial"/>
      </rPr>
      <t xml:space="preserve"> extinction coeffiecient is set to decrease linearly with time from 0.8 at stand establishment to 0.4 at an age of 100 years</t>
    </r>
  </si>
  <si>
    <t>sun</t>
  </si>
  <si>
    <t>shade</t>
  </si>
  <si>
    <t>m²/kg</t>
  </si>
  <si>
    <t>LMA</t>
  </si>
  <si>
    <t>130 - 350 g/m²</t>
  </si>
  <si>
    <t>76.9 - 28.2 cm²/g</t>
  </si>
  <si>
    <t>psla = psla_min+psla*irel</t>
  </si>
  <si>
    <t>Cole, D. W., S.P. Gessel , S.F. Dice (1967). "Distribution and cycling of Nitrogen, Phosphorus, Potassium, and Calcium in a Second Growth Douglas-Fir Ecosystem." Symposium on Primary Productivity and Mineral Cycling in Natural Ecosystems, Distribution and cycling of nitrogen: 197-232.</t>
  </si>
  <si>
    <t>Table 4: 38,8 kg*ha-1 N uptake by old-growth douglas-fir forest (table 5 splits uptake into compartments foliage, branches, bole)</t>
  </si>
  <si>
    <t>table 8 gives distribution of dry matter for foliage, current branches, dead branches, wood, bark, large roots and stumps, small roots for ten trees of an 0.0004ha plot)</t>
  </si>
  <si>
    <r>
      <t>Jussy, J. H., M. Colin-Belgrand, et al. (2000); Jussy, J. H., M. Colin-Belgrand, et al. (2004); Ranger, J., R. Marques, et al. (1995); Ranger, J., R. Marques, et al. (1997);</t>
    </r>
    <r>
      <rPr>
        <sz val="10"/>
        <rFont val="Arial"/>
      </rPr>
      <t xml:space="preserve"> Ranger, J. and D. Gelhaye (2001) ;Santantonio, D. and R. K. Hermann (1985); Olsthoorn, A. F. M., W. G. Keltjens, et al. (1991); Bartelink, H. H. (2000); Gower, S. T., K. A. Vogt, et al. (1992); Cole, D. W., S.P. Gessel , S.F. Dice (1967)</t>
    </r>
  </si>
  <si>
    <t>table 9 gives distribution of nitrogen for foliage, current branches, dead branches, wood, bark, large roots and stumps, small roots for ten trees of an 0.0004ha plot)</t>
  </si>
  <si>
    <t>table 2 Distribution of N between the major components of the Second-growth Douglas-fir forest</t>
  </si>
  <si>
    <t>ecosystem component</t>
  </si>
  <si>
    <t>N (kg*ha-1)</t>
  </si>
  <si>
    <t>wood</t>
  </si>
  <si>
    <t>bark</t>
  </si>
  <si>
    <t>roots</t>
  </si>
  <si>
    <t>total</t>
  </si>
  <si>
    <t>Mohren, G. M. J. and H. H. Bartelink (1990). "Modeling the Effects of Needle Mortality-Rate and Needle Area Distribution on Dry-Matter Production of Douglas-Fir." Netherlands Journal of Agricultural Science 38(1): 53-66.</t>
  </si>
  <si>
    <t>needle life span 5 years or even longer</t>
  </si>
  <si>
    <t>SLA different according to needle age:</t>
  </si>
  <si>
    <t>new needle</t>
  </si>
  <si>
    <t>1 year old</t>
  </si>
  <si>
    <t>2 year old</t>
  </si>
  <si>
    <t>3 year old</t>
  </si>
  <si>
    <t>4 year old</t>
  </si>
  <si>
    <t>age</t>
  </si>
  <si>
    <t>SLA</t>
  </si>
  <si>
    <t>Smith 1993; Bartelink 1998; Mohren, G. M. J., C. P. Vangerwen, et al. (1984); Mohren, G. M. J. and H. H. Bartelink (1990)</t>
  </si>
  <si>
    <t>Santantonio, D., R. K. Hermann, et al. (1977). "Root Biomass Studies in Forest Ecosystems." Pedobiologia 17(1): 1-31.</t>
  </si>
  <si>
    <t>root bimass (t)</t>
  </si>
  <si>
    <t>large roots</t>
  </si>
  <si>
    <t>small roots(&lt;5mm-10mm)</t>
  </si>
  <si>
    <t>C (biomass/2)</t>
  </si>
  <si>
    <t>N/C</t>
  </si>
  <si>
    <t>nutrient content (table 8)</t>
  </si>
  <si>
    <t>mean biomass table 6)</t>
  </si>
  <si>
    <t>sum stem (bark+wood)</t>
  </si>
  <si>
    <t>Ponette, Q., J. Ranger, et al. (2001)</t>
  </si>
  <si>
    <t>source of data used in calculation</t>
  </si>
  <si>
    <t>value</t>
  </si>
  <si>
    <t>compartments</t>
  </si>
  <si>
    <t>stem, branch, needles</t>
  </si>
  <si>
    <t>Santantonio, D., R. K. Hermann, et al. (1977)</t>
  </si>
  <si>
    <t>sum medium and large roots</t>
  </si>
  <si>
    <t>sum N medium and large roots</t>
  </si>
  <si>
    <t>N/C  large and medium roots</t>
  </si>
  <si>
    <t>Ranger, J. and D. Gelhaye (2001)</t>
  </si>
  <si>
    <t>stem, branch, needles, coarse and fine roots</t>
  </si>
  <si>
    <t>Hope, G. D., C. E. Prescott, et al. (2003)</t>
  </si>
  <si>
    <t>young douglas fir</t>
  </si>
  <si>
    <t>douglas-fir-alder</t>
  </si>
  <si>
    <t>olg-growth</t>
  </si>
  <si>
    <t>mean stand 1 and 3 ( stand 2 not because of alder leading to hihger N concentrations)</t>
  </si>
  <si>
    <t>Klopatek, J. M. (2007)</t>
  </si>
  <si>
    <t>mean 1;2;3</t>
  </si>
  <si>
    <t>0,0091-0,01</t>
  </si>
  <si>
    <t>area (ha)</t>
  </si>
  <si>
    <t>root biomass (t ha-1)</t>
  </si>
  <si>
    <t>Nitrogen (kg)</t>
  </si>
  <si>
    <t>N (kg ha-1)</t>
  </si>
  <si>
    <t>Table 10</t>
  </si>
  <si>
    <t>table 12</t>
  </si>
  <si>
    <t>fine roots (&lt;5mm)</t>
  </si>
  <si>
    <t>fine root biomass (&lt;5mm) 9,7 t ha-1</t>
  </si>
  <si>
    <t>fine root biomass (5-10mm) 1,6 t ha-1</t>
  </si>
  <si>
    <t>Webb, W. L. (1991). "Dynamics of Photoassimilated C-14 and C-12 in Pseudotsuga-Menziesii Seedlings - Photosynthesis, Respiration, and Biomass." Photosynthetica 25(3): 323-331.</t>
  </si>
  <si>
    <t>photosynthesized carbon used for maintenance respiration=0.0018g</t>
  </si>
  <si>
    <t>Webb, W. L. (1991a); Webb, W. L. (1991b)</t>
  </si>
  <si>
    <t>Wood density = 360-400 kg m-3 (=0.00036-0.0004 kg cm-3)</t>
  </si>
  <si>
    <t>prhos</t>
  </si>
  <si>
    <t>Bartelink, H. H. (1998). "A model of dry matter partitioning in trees." Tree Physiology 18(2): 91-101.</t>
  </si>
  <si>
    <t>cross sectional sapwood area below the lowest living whorl = 0.003m2</t>
  </si>
  <si>
    <t>0.003m2 = 30cm2</t>
  </si>
  <si>
    <t>foliage biomass = 3.1kg dry mass</t>
  </si>
  <si>
    <t>3.1/30cm2= 0.10333kg/cm2</t>
  </si>
  <si>
    <t>pnus</t>
  </si>
  <si>
    <t>0.01-0.04</t>
  </si>
  <si>
    <t>Thornton, P. E., B. E. Law, et al. (2002). "Modeling and measuring the effects of disturbance history and climate on carbon and water budgets in evergreen needleleaf forests." Agricultural and Forest Meteorology 113(1-4): 185-222.</t>
  </si>
  <si>
    <t>c/n of current year's foliage at maturity = 45</t>
  </si>
  <si>
    <t>Thornton, P. E., B. E. Law, et al. (2002)</t>
  </si>
  <si>
    <t>pnc</t>
  </si>
  <si>
    <t>Douglas fir foliage age at Wind River 4-8 years</t>
  </si>
  <si>
    <t>table 2 main stand characteristics</t>
  </si>
  <si>
    <t>basal area per ha (m2)</t>
  </si>
  <si>
    <t>sum biomass branches, medium and large roots)</t>
  </si>
  <si>
    <t>SA=SLA*needle biomass/0,465</t>
  </si>
  <si>
    <t>sapwood area (SA) breast high</t>
  </si>
  <si>
    <t>original equation from Bartelink 1996 NA (needle area)=0,465*SA; with NA=SLA*needle biomass</t>
  </si>
  <si>
    <t>SLA=5,8 m2*kg-1 (see psla_min)</t>
  </si>
  <si>
    <t>needle biomass=13,6t*ha-1 or 1,360 kg*m-2</t>
  </si>
  <si>
    <t>Sapwood area (m2)</t>
  </si>
  <si>
    <t>Hardwood area (m2)= Basal area-sapwood area</t>
  </si>
  <si>
    <t>Volume heartwood (m3*ha-1)</t>
  </si>
  <si>
    <t>biomass heartwood (t*ha-1) with a wood density of 0,000405 kg*m-3 (see prhos)</t>
  </si>
  <si>
    <t>Kronenansatzhöhe (m) calculated with equation from NAGEL (see sheet crown_a fit) and a dbh of 24cm calculated with BA=(pi()/4)*4 (BA=46m2 from Bartelink 1996)</t>
  </si>
  <si>
    <t>biomass sapwood=biomass stem-biomass heartwood</t>
  </si>
  <si>
    <t>alphac = biomass twigs, branches, coarse roots/ biomass sapwood</t>
  </si>
  <si>
    <t>Leaf Carbon for Wind River (450 year old-growth stand) from model Biome BGC: 873gC m-2</t>
  </si>
  <si>
    <t>Göhre K. (1958). Die Douglasie und ihr Holz. Akademie Verlag Berlin</t>
  </si>
  <si>
    <t>Rohwichte= 0.524 g/cm-3 = 0.000524 kg cm-3</t>
  </si>
  <si>
    <t>(1997). Le douglas. AFOCEL</t>
  </si>
  <si>
    <t>density 425 g dm-3 = 0.000425 kg cm-3</t>
  </si>
  <si>
    <t xml:space="preserve">stemwood (only sapwood?) </t>
  </si>
  <si>
    <t>Bartelink, H. H., K. Kramer, et al. (1997). "Applicability of the radiation-use efficiency concept for simulating growth of forest stands." Agricultural and Forest Meteorology 88(1-4): 169-179.</t>
  </si>
  <si>
    <t>SLA used in FORGRO model: 5.6m2kg-1</t>
  </si>
  <si>
    <t>branch</t>
  </si>
  <si>
    <t xml:space="preserve">stem </t>
  </si>
  <si>
    <t>foliage</t>
  </si>
  <si>
    <t>biomass (t ha-1)</t>
  </si>
  <si>
    <t>monospecific douglas-fir stands</t>
  </si>
  <si>
    <t>Dekort, I. (1993). "Relationships between Sapwood Amount, Latewood Percentage, Moisture-Content and Crown Vitality of Douglas-Fir, Pseudotsuga-Menziesii." Iawa Journal 14(4): 413-427.</t>
  </si>
  <si>
    <t>data on sapwood width (mm), sapwood area (cm2), sapwood volume (dm3)</t>
  </si>
  <si>
    <t>age class</t>
  </si>
  <si>
    <t>n</t>
  </si>
  <si>
    <t>36.7</t>
  </si>
  <si>
    <t>37.4</t>
  </si>
  <si>
    <t>52.1</t>
  </si>
  <si>
    <t>sapwood area (cm2)</t>
  </si>
  <si>
    <t>sapwood width (mm)</t>
  </si>
  <si>
    <t>215.4</t>
  </si>
  <si>
    <t>289.7</t>
  </si>
  <si>
    <t>863.5</t>
  </si>
  <si>
    <t>sapwood volume (dm3)</t>
  </si>
  <si>
    <t>295.7</t>
  </si>
  <si>
    <t>880.6</t>
  </si>
  <si>
    <t>same data available for five vitality classes</t>
  </si>
  <si>
    <t>Krischer, V. (1993). Untersuchung der Verkernung, der Jahrringstruktur sowie der Rohdichte an Douglasien (Pseudotsuga menziesii (Mirb.) Franco) unterschiedlicher Kronenklassen.</t>
  </si>
  <si>
    <t>Raumdichte: 404kg m-3 (=0.000404kg cm-3)</t>
  </si>
  <si>
    <t>alphac</t>
  </si>
  <si>
    <t>Kenndaten Versuchsbestand</t>
  </si>
  <si>
    <t>Wuchsgebiet "Südwestl. Harzvorland"</t>
  </si>
  <si>
    <t>mittl. Jahrestemp., 8° C</t>
  </si>
  <si>
    <t>JNS 780-850 mm, davon 370 mm in der forstl. Veg.-zeit</t>
  </si>
  <si>
    <t>Boden: Buntsandstein mit 30-40 cm Lößlehm-Überlagerung (feinsandiger Lehm)</t>
  </si>
  <si>
    <t>podsolierte Braunerde, ziemlich gut nährstoffversorgt</t>
  </si>
  <si>
    <t>PNV: reicherer Hainsimsen-Buchenwald (Luzulo-Fagetum)</t>
  </si>
  <si>
    <t>270 bis 300 m ü.NN</t>
  </si>
  <si>
    <t>6 Probebäume aus einem 32j. schw. bis mittl. DG-Baumholz (einschichtiger Reinbestand)</t>
  </si>
  <si>
    <t>Aufforstung 1960, Probenahmen 1992</t>
  </si>
  <si>
    <t>Herkunft "Baker", USA, Staat Washington</t>
  </si>
  <si>
    <t>Anh. 1: Kronenprojektionsteilkreisflächen aller Bäume (m2)</t>
  </si>
  <si>
    <t>Teilkreisflächen</t>
  </si>
  <si>
    <t>Baum</t>
  </si>
  <si>
    <t>Mittelwert</t>
  </si>
  <si>
    <t>KrSchirmfl. [m2]</t>
  </si>
  <si>
    <t>KrD [m]</t>
  </si>
  <si>
    <t>Tabelle 8: Ausbauchungsreihen, Volumina und Formigkeitswerte aller Probebäume ebenfalls vorhanden (für Durchmesser)</t>
  </si>
  <si>
    <t>Anh. 2: Absolute Kernflächen [cm2] aller sechs Bäume in verschiedenen Höhen</t>
  </si>
  <si>
    <t>Höhe</t>
  </si>
  <si>
    <t>1,3m</t>
  </si>
  <si>
    <t>Anh. 3: Absolute Splintflächen [cm2] aller sechs Bäume in verschiedenen Höhen</t>
  </si>
  <si>
    <t>22.4.3</t>
  </si>
  <si>
    <t>ergänzt:</t>
  </si>
  <si>
    <t>Kronenklasse</t>
  </si>
  <si>
    <t>vorherrschend</t>
  </si>
  <si>
    <t>mitherrschend</t>
  </si>
  <si>
    <t>beherrscht</t>
  </si>
  <si>
    <t>weitere Tab. zu Splintbreiten, Spät- und Frühholzanteilen, jeweils 6 Bäume und versch. Höhen und Jahrringbreiten-Entw.</t>
  </si>
  <si>
    <t>element</t>
  </si>
  <si>
    <t>component</t>
  </si>
  <si>
    <t>dou 71</t>
  </si>
  <si>
    <t>dou23</t>
  </si>
  <si>
    <t>dou69</t>
  </si>
  <si>
    <t>dou61</t>
  </si>
  <si>
    <t xml:space="preserve">dou34 </t>
  </si>
  <si>
    <t>table 8 nutrient content and distribution in the aboveground tree components (kg ha-1)</t>
  </si>
  <si>
    <t>stemwood</t>
  </si>
  <si>
    <t>stembark</t>
  </si>
  <si>
    <t xml:space="preserve">branchwood </t>
  </si>
  <si>
    <t>needles</t>
  </si>
  <si>
    <t>biomasseregressionsgleichungen für crown (total needles &amp; total ligneous branch) and stem (stembark &amp; stemwood)</t>
  </si>
  <si>
    <t xml:space="preserve">table 9 stand-level dimensions estimated by applications of the sapwood taper equations to individual trees of the plots </t>
  </si>
  <si>
    <t>plot</t>
  </si>
  <si>
    <t>basal area</t>
  </si>
  <si>
    <t>sapwood cross sectional area at breast height</t>
  </si>
  <si>
    <t>LAI</t>
  </si>
  <si>
    <t>volume</t>
  </si>
  <si>
    <t>% sapwood volume</t>
  </si>
  <si>
    <t>LA/SV</t>
  </si>
  <si>
    <t>sapwood volume (SV)</t>
  </si>
  <si>
    <t>107.1</t>
  </si>
  <si>
    <t>207.3</t>
  </si>
  <si>
    <t>139.2</t>
  </si>
  <si>
    <t>170.3</t>
  </si>
  <si>
    <t>189.7</t>
  </si>
  <si>
    <t>206.7</t>
  </si>
  <si>
    <t>166.6</t>
  </si>
  <si>
    <t>crown_a</t>
  </si>
  <si>
    <t>wood density estimation from netherlands: 450 kg m-3 (=0.00045 kg cm-3)</t>
  </si>
  <si>
    <t>0.00036-0.00045 (- 0.000524)</t>
  </si>
  <si>
    <t>Waring, R. H. and N. McDowell (2002); (1997). Le douglas. AFOCEL; (Göhre K. (1958)); Krischer, V. (1993); Bartelink, H. H. (1996)</t>
  </si>
  <si>
    <t>cpa=2.500+6.890*ba (R²=0.95)</t>
  </si>
  <si>
    <t>linear relationship between dbh and crown radius, respectively between tree basal area (ba, at breast height) and crown projection area (cpa)</t>
  </si>
  <si>
    <t>Table 3 regression of stem biomass (WS), branch biomass (WB), needle biomass (WN), crown biomass(WCr), total biomas (Wtot), and needle area (NA, in m2) respectively on dbh (d, in cm) and tree heihgt (h, in m). Biomass amounts in kg per tree</t>
  </si>
  <si>
    <t>ln WS=-2.535+2.009*ln(d)+0.709*ln(h)  (R²=0.998)</t>
  </si>
  <si>
    <t>ln WB=-2.675+4.420*ln(d)-2.784*ln(h)   (R²=0.944</t>
  </si>
  <si>
    <t>ln WN=-1.346+3.351*ln(d)-2.201*ln(h)    (R²=0.941)</t>
  </si>
  <si>
    <t>ln WCr=-1.345+3.924*ln(d)-2.514*ln(h)    (R²=0.945)</t>
  </si>
  <si>
    <t>ln Wtot=-1.620+2.410*ln(d)</t>
  </si>
  <si>
    <t>ln NA=0.417+3.345*ln(d)-2.206*ln(h)</t>
  </si>
  <si>
    <t>Table 4 aerial and belowground compartmented biomass and nutrient content of the 47-year-old douglas.fir stand (data in t per ha of dry biomass at 65°C and in kg per ha of dry matter for nutrients)</t>
  </si>
  <si>
    <t>biomass</t>
  </si>
  <si>
    <t>branches</t>
  </si>
  <si>
    <t>fine roots (&lt;1cm)</t>
  </si>
  <si>
    <t>Korol, R. L., S. W. Running, et al. (1995). "Incorporating Intertree Competition into an Ecosystem Model." Canadian Journal of Forest Research-Revue Canadienne De Recherche Forestiere 25(3): 413-424.</t>
  </si>
  <si>
    <t>table 1 allocation of simulated stand carbon in year 5</t>
  </si>
  <si>
    <t>maintenance respiration</t>
  </si>
  <si>
    <t>growth respiration</t>
  </si>
  <si>
    <t>growth</t>
  </si>
  <si>
    <t>open(553 trees/ha)</t>
  </si>
  <si>
    <t>dense(2100 trees/ha)</t>
  </si>
  <si>
    <t>GPP, MR, GR and growth in tC ha-1*year-1</t>
  </si>
  <si>
    <t>MR, GR and growth components are for leaf stem and roots</t>
  </si>
  <si>
    <t>Korol, R. L., S. W. Running, et al. (1995)</t>
  </si>
  <si>
    <t>Korol, R. L., K. S. Milner, et al. (1996). "Testing a mechanistic model for predicting stand and tree growth." Forest Science 42(2): 139-153.</t>
  </si>
  <si>
    <t>ending LAI are between 6.1-7.1</t>
  </si>
  <si>
    <t>Figure 3D SLA on percentage of above-canopy light (PACL), following the equation y=43,1-0,093x; y= SLA and x= PACL</t>
  </si>
  <si>
    <t>percentage</t>
  </si>
  <si>
    <t>initial LAI ranged from 6-6.8</t>
  </si>
  <si>
    <t>model calculation:</t>
  </si>
  <si>
    <t>medium roots (1-4cm)</t>
  </si>
  <si>
    <t>large roots &gt;4cm)</t>
  </si>
  <si>
    <t>table 3 Main biomass and nutrient content tables calculated for belowground compartments</t>
  </si>
  <si>
    <t>gives regression equations for total belowground biomass, stump biomass. Large root biomass, medium root biomass, fine root biomass and nutrient content of the total belowground compartments (N, P, K, Ca, Mg)</t>
  </si>
  <si>
    <t>table 5 mean concentration of major nutrients for the belowground compartments of the 47-year-old douglas-fir stand (data in % of dry matter at 65°C)</t>
  </si>
  <si>
    <t>gives N concentration % for stump wood, stump bark, large roots wood, large roots bark, medium roots bark, medium roots total, fine roots total</t>
  </si>
  <si>
    <t>Table 4 Estimates of fine root production, turnover, and decomposition in the upper 75cm of soil.</t>
  </si>
  <si>
    <t>site</t>
  </si>
  <si>
    <t>decomposition (Mg ha-1 year-1)</t>
  </si>
  <si>
    <t>k_opm_frt</t>
  </si>
  <si>
    <t>Douglasie 0,01 g/ samen, da Tausendkorngewicht 10 g</t>
  </si>
  <si>
    <t>Bürschel &amp; Huss 1987 (???), tabelle in Ordner</t>
  </si>
  <si>
    <t>Table 8 gives data on detrius production</t>
  </si>
  <si>
    <t>1420+-60</t>
  </si>
  <si>
    <t>1840+-50</t>
  </si>
  <si>
    <t>dead conifer foliage kg ha-1</t>
  </si>
  <si>
    <t>year</t>
  </si>
  <si>
    <t>k_opm_fol</t>
  </si>
  <si>
    <t>fine root mortality kg ha-1</t>
  </si>
  <si>
    <t>Santantonio, D. and R. K. Hermann (1985); Gower, S. T., K. A. Vogt, et al. (1992)</t>
  </si>
  <si>
    <t xml:space="preserve">Table 3 gives allometric relations of tree component dry mass (stem wood, stem bark, branch, new twig, new foliage, old foliage, total foliage) on diameter and leaf area on diameter </t>
  </si>
  <si>
    <t>pool</t>
  </si>
  <si>
    <t>NPP</t>
  </si>
  <si>
    <t>GPP</t>
  </si>
  <si>
    <t>stem sapwood</t>
  </si>
  <si>
    <t>live branches</t>
  </si>
  <si>
    <t>153 (11)</t>
  </si>
  <si>
    <t>7 (0.5)</t>
  </si>
  <si>
    <t>167 (21)</t>
  </si>
  <si>
    <t>32 (9)</t>
  </si>
  <si>
    <t>108 (34)</t>
  </si>
  <si>
    <t>51 (7)</t>
  </si>
  <si>
    <t>185 (13)</t>
  </si>
  <si>
    <t>115 (32)</t>
  </si>
  <si>
    <t>218 (20)</t>
  </si>
  <si>
    <t>Table 2 estimated rates of production and respiration associated with live biomass (g C m-2 y-1)</t>
  </si>
  <si>
    <t>Table 3 estimated stores od carbon, rate constants, and fluxes (g C m-2)</t>
  </si>
  <si>
    <t>for pseudostuga logs</t>
  </si>
  <si>
    <t>is this usefull for decomposition????</t>
  </si>
  <si>
    <t>k_opm_stem</t>
  </si>
  <si>
    <t>Edmonds, R. L. (1979). "Decomposition and Nutrient Release in Douglas-Fir Needle Litter in Relation to Stand Development." Canadian Journal of Forest Research-Revue Canadienne De Recherche Forestiere 9(1): 132-140.</t>
  </si>
  <si>
    <t>Table 1 Decomposition constants for Douglas-fir needles determined from litter bags after 1 and 2 years from the litter fall: forest floor weight ratio, percent needle lignin after 2 years decomposition, average maximum, and minimum air temperatures, and average and minimum moisture in a sequence of stands ranging from 11 to 97 years</t>
  </si>
  <si>
    <t>stand age, years</t>
  </si>
  <si>
    <t>year 1</t>
  </si>
  <si>
    <t>year 2</t>
  </si>
  <si>
    <t>litter bag</t>
  </si>
  <si>
    <t>0.48+-0.09</t>
  </si>
  <si>
    <t>0.69+-0.1</t>
  </si>
  <si>
    <t>0.57+-0.05</t>
  </si>
  <si>
    <t>0.53+-0.02</t>
  </si>
  <si>
    <t>0.56+-0.06</t>
  </si>
  <si>
    <t>0.41+-0.16</t>
  </si>
  <si>
    <t>0.49+-0.12</t>
  </si>
  <si>
    <t>0.53+-0.05</t>
  </si>
  <si>
    <t>0.40+-0.03</t>
  </si>
  <si>
    <t>litter fall: forest floor weight ratio</t>
  </si>
  <si>
    <t>0.093</t>
  </si>
  <si>
    <t>0.126</t>
  </si>
  <si>
    <t>0.105</t>
  </si>
  <si>
    <t>0.048</t>
  </si>
  <si>
    <t>0.054</t>
  </si>
  <si>
    <t>% lignin after 2 years</t>
  </si>
  <si>
    <t>average</t>
  </si>
  <si>
    <t>minimum</t>
  </si>
  <si>
    <t xml:space="preserve"> maximum</t>
  </si>
  <si>
    <t>Air temperature, °C</t>
  </si>
  <si>
    <t>Litter moisture</t>
  </si>
  <si>
    <t>needle weight loss varied from 38.3+-5.4 to 50+-4.7% after 1 year and from 54.9+-12.7 to 66.9+-4.3 after 2 years</t>
  </si>
  <si>
    <t>C:N ratio for needles (after collection) 49.8 (table 2)</t>
  </si>
  <si>
    <t>Gower, S. T., K. A. Vogt, et al. (1992); Turner, J. (1980); Klopatek, J. M. (2007); Edmonds, R. L. (1979)</t>
  </si>
  <si>
    <t>Edmonds, R. L., D. J. Vogt, et al. (1986). "Decomposition of Douglas-Fir and Red Alder Wood in Clear-Cuttings." Canadian Journal of Forest Research-Revue Canadienne De Recherche Forestiere 16(4): 822-831.</t>
  </si>
  <si>
    <t>table 1 percent weight loss after 24 and 60 months of three diameters of summer-logged Douglas-fir wood placed 20cm above the soil surface, on the soil surface and buried on south-and north facing slopes</t>
  </si>
  <si>
    <t>dimater class (cm)</t>
  </si>
  <si>
    <t>vertical location (cm)</t>
  </si>
  <si>
    <t>1.0-2.0</t>
  </si>
  <si>
    <t>4.0-6.0</t>
  </si>
  <si>
    <t>8.0-12.0</t>
  </si>
  <si>
    <t>south aspect</t>
  </si>
  <si>
    <t>north aspect</t>
  </si>
  <si>
    <t>24 months</t>
  </si>
  <si>
    <t>60 months</t>
  </si>
  <si>
    <t>25.5+-5.1</t>
  </si>
  <si>
    <t>25.3+-2.7</t>
  </si>
  <si>
    <t>11.6+-1.5</t>
  </si>
  <si>
    <t>11.3+-2.9</t>
  </si>
  <si>
    <t>9+-1.1</t>
  </si>
  <si>
    <t>3.8+-0.8</t>
  </si>
  <si>
    <t>9.1+-2.3</t>
  </si>
  <si>
    <t>7.7+-1.4</t>
  </si>
  <si>
    <t>3.4+-0.9</t>
  </si>
  <si>
    <t>56.6+-6.4</t>
  </si>
  <si>
    <t>19.4+-1</t>
  </si>
  <si>
    <t>10.5+-1.1</t>
  </si>
  <si>
    <t>16.4+-3</t>
  </si>
  <si>
    <t>13.5+-7.7</t>
  </si>
  <si>
    <t>13.3+-1.6</t>
  </si>
  <si>
    <t>10.8+-1.4</t>
  </si>
  <si>
    <t>12.3+-4.8</t>
  </si>
  <si>
    <t>5.2+-0.4</t>
  </si>
  <si>
    <t>7.5+-5.9</t>
  </si>
  <si>
    <t>9.5+-2.4</t>
  </si>
  <si>
    <t>4+-0.9</t>
  </si>
  <si>
    <t>59+-0.7</t>
  </si>
  <si>
    <t>75.9+-6.4</t>
  </si>
  <si>
    <t>42.6+-16.1</t>
  </si>
  <si>
    <t>table 2 percent weight loss after 24; 36 and 54 months of three diameters of winter-logged Douglas-fir wood placed 20cm above the soil surface, on the soil surface and buried on south-and north facing slopes</t>
  </si>
  <si>
    <t>36 months</t>
  </si>
  <si>
    <t>54 months</t>
  </si>
  <si>
    <t>30.2+-1.9</t>
  </si>
  <si>
    <t>16.1+-2.8</t>
  </si>
  <si>
    <t>23.4+-10.6</t>
  </si>
  <si>
    <t>6.5+-2.8</t>
  </si>
  <si>
    <t>4+-2.3</t>
  </si>
  <si>
    <t>4.9+-2.2</t>
  </si>
  <si>
    <t>5.7+-3.4</t>
  </si>
  <si>
    <t>5.2+-2.3</t>
  </si>
  <si>
    <t>1.1+-0.7</t>
  </si>
  <si>
    <t>31.9+-20.7</t>
  </si>
  <si>
    <t>31.3+-10.5</t>
  </si>
  <si>
    <t>15.2+-9.9</t>
  </si>
  <si>
    <t>10.2+-3.6</t>
  </si>
  <si>
    <t>7.7+-2.1</t>
  </si>
  <si>
    <t>3.8+-0.4</t>
  </si>
  <si>
    <t>9.3+-5.8</t>
  </si>
  <si>
    <t>6.3+-1.3</t>
  </si>
  <si>
    <t>2+-1.1</t>
  </si>
  <si>
    <t>36.1</t>
  </si>
  <si>
    <t>14.7+-2.3</t>
  </si>
  <si>
    <t>10.1+-0.9</t>
  </si>
  <si>
    <t>12.3+-2.5</t>
  </si>
  <si>
    <t>16.5+-4.9</t>
  </si>
  <si>
    <t>14.1+-10.1</t>
  </si>
  <si>
    <t>7.9+-1.4</t>
  </si>
  <si>
    <t>6.7+-4.4</t>
  </si>
  <si>
    <t>2.2+-0.8</t>
  </si>
  <si>
    <t>5.2+-4.2</t>
  </si>
  <si>
    <t>7.5+-4.9</t>
  </si>
  <si>
    <t>3.4+-0.4</t>
  </si>
  <si>
    <t>35.9+-1.7</t>
  </si>
  <si>
    <t>38.1+-20</t>
  </si>
  <si>
    <t>27+-3.9</t>
  </si>
  <si>
    <t>10.8+-2.9</t>
  </si>
  <si>
    <t>3.9+-2.2</t>
  </si>
  <si>
    <t>5.4+-3.6</t>
  </si>
  <si>
    <t>8.2+-3.5</t>
  </si>
  <si>
    <t>4.6+-1.5</t>
  </si>
  <si>
    <t>3.41+-1.3</t>
  </si>
  <si>
    <t>11.3+-+-4.9</t>
  </si>
  <si>
    <t>5.7+-0.7</t>
  </si>
  <si>
    <t>5.1+-2.2</t>
  </si>
  <si>
    <t>Harmon, M. E., K. Bible, et al. (2004) Turner, J. (1980); Edmonds, R. L., D. J. Vogt, et al. (1986)</t>
  </si>
  <si>
    <t xml:space="preserve"> </t>
  </si>
  <si>
    <t>table 4 &amp; 5 &amp; 6</t>
  </si>
  <si>
    <t>numerous decompostition constants (k, years) calculated after 2 (3; 5) for diameter classes and vertical location on north and south aspects using the "best-fit" regression analysis ® and the Olson's method (O)</t>
  </si>
  <si>
    <t>C/N wood</t>
  </si>
  <si>
    <t>summer</t>
  </si>
  <si>
    <t>winter</t>
  </si>
  <si>
    <t>table 7 initial chemical analysis for summer - and winter - logged douglas fir wood</t>
  </si>
  <si>
    <t>Rose, R. and D. L. Haase (2005). "Root and shoot allometry of bareroot and container Douglas-fir seedlings." New Forests 30(2-3): 215-233.</t>
  </si>
  <si>
    <t xml:space="preserve">table 2 </t>
  </si>
  <si>
    <t>height and stem diameter for seedling</t>
  </si>
  <si>
    <t>table 3 new root and shoot biomass for each stock type over time</t>
  </si>
  <si>
    <t>Hope, G. D., C. E. Prescott, et al. (2003). "Responses of available soil nitrogen and litter decomposition to openings of different sizes in dry interior Douglas-fir forests in British Columbia." Forest Ecology and Management 186(1-3): 33-46.</t>
  </si>
  <si>
    <t>table 1 selected chemical properties from uncut forest or decomposition studies</t>
  </si>
  <si>
    <t>fresh douglas-fir litter</t>
  </si>
  <si>
    <t>C (g kg-1)</t>
  </si>
  <si>
    <t>N (g kg-1)</t>
  </si>
  <si>
    <t>page 95 features equations on calculating carbon allocation for new needles, old needles, new stem, old stem and root carbon</t>
  </si>
  <si>
    <t>Turner, J. (1980). "Nitrogen And Phosphorus Distributions In Naturally Regenerated Eucalyptus Spp And Planted Douglas-Fir." Australian Forest Research 10(3): 289-294.</t>
  </si>
  <si>
    <t>Table 1 distribution of above-ground organic matter, nitrogen and phosphorous to a depth of 150mm in the soil under a douglas-fir plantation (kg ha-1)</t>
  </si>
  <si>
    <t>Foliage: 16720</t>
  </si>
  <si>
    <t>heartwood 172325</t>
  </si>
  <si>
    <t>sapwood 146795</t>
  </si>
  <si>
    <t>k_opm_tbc</t>
  </si>
  <si>
    <t>branch 30520</t>
  </si>
  <si>
    <t>note table  1 also mentions bark biomass but not if taken from stem or from branches (branch 37 930</t>
  </si>
  <si>
    <t>Vandendriessche, R. (1992). "Absolute and Relative Growth of Douglas-Fir Seedlings of Different Sizes." Tree Physiology 10(2): 141-152.</t>
  </si>
  <si>
    <t>Table 2 heights and stem volumes of six nursery stock types</t>
  </si>
  <si>
    <t>stock type</t>
  </si>
  <si>
    <t>1,2 cm spacing</t>
  </si>
  <si>
    <t>7,7 cm spacing</t>
  </si>
  <si>
    <t>14,3 cm spacing</t>
  </si>
  <si>
    <t>14 cm 1+1 transplant</t>
  </si>
  <si>
    <t>14cm container transplant</t>
  </si>
  <si>
    <t>container</t>
  </si>
  <si>
    <t>dates</t>
  </si>
  <si>
    <t>march 3 1983</t>
  </si>
  <si>
    <t>oct. 3 1986</t>
  </si>
  <si>
    <t>sept 3 1984</t>
  </si>
  <si>
    <t>oct 29 1986</t>
  </si>
  <si>
    <t>sept. 29 1988</t>
  </si>
  <si>
    <t>oct 26 1990</t>
  </si>
  <si>
    <t>height, cm</t>
  </si>
  <si>
    <t>volume, cm3</t>
  </si>
  <si>
    <t>missing data in publication</t>
  </si>
  <si>
    <t>table 3 Dry weights and shoot/root ratios of six nursery stock types over 5.6 years</t>
  </si>
  <si>
    <t>dry weight, g (?)</t>
  </si>
  <si>
    <t>Ph1</t>
  </si>
  <si>
    <t>table 4 Dry weight relative growth rates of seedlings grown in the greenhouse and in the forest</t>
  </si>
  <si>
    <t>is this data usefull?</t>
  </si>
  <si>
    <t>Khan, S. R., R. Rose, et al. (2000). "Effects of shade on morphology, chlorophyll concentration, and chlorophyll fluorescence of four Pacific Northwest conifer species." New Forests 19(2): 171-186.</t>
  </si>
  <si>
    <t>Table 1 Final Morphological characteristics</t>
  </si>
  <si>
    <t>species</t>
  </si>
  <si>
    <t>douglas-fir</t>
  </si>
  <si>
    <t>shoot height (cm)</t>
  </si>
  <si>
    <t>stem diameter (mm)</t>
  </si>
  <si>
    <t>total fresh weight (g)</t>
  </si>
  <si>
    <t>root volume (cm3)</t>
  </si>
  <si>
    <t>shoot volume (cm3)</t>
  </si>
  <si>
    <t>total dry weight (g)</t>
  </si>
  <si>
    <t>shoot/root ratio (dry weight)</t>
  </si>
  <si>
    <t>RGR (relative growth rate) (g day-1)</t>
  </si>
  <si>
    <t>sturdiness quotient SQ</t>
  </si>
  <si>
    <t>Dickson quality index DQI</t>
  </si>
  <si>
    <t>Dekker, M., M. van Breugel, et al. (2007). "Effective height development of four co-occurring species in the gap-phase regeneration of Douglas fir monocultures under nature-oriented conversion." Forest Ecology and Management 238(1-3): 189-198.</t>
  </si>
  <si>
    <t>lifespan of Douglas fir &gt;600 years</t>
  </si>
  <si>
    <t>Dekker, M., M. van Breugel, et al. (2007)</t>
  </si>
  <si>
    <t>lifespan of needles 5-8 years</t>
  </si>
  <si>
    <t>BHD</t>
  </si>
  <si>
    <t>Funktion nagel</t>
  </si>
  <si>
    <t>Fit für 4C</t>
  </si>
  <si>
    <t>c1</t>
  </si>
  <si>
    <t>c2</t>
  </si>
  <si>
    <t>H100</t>
  </si>
  <si>
    <t>Bartelink pers. Comm.</t>
  </si>
  <si>
    <t>Bartelink, H. H. (2000); Waring, R. H. and N. McDowell (2002);  Gower, S. T., K. A. Vogt, et al. (1992); Mohren, G. M. J., C. P. Vangerwen, et al. (1984); Mohren, G. M. J. and H. H. Bartelink (1990); Thornton, P. E., B. E. Law, et al. (2002); Gruber, F. (1992); Dekker, M., M. van Breugel, et al. (2007)</t>
  </si>
  <si>
    <t>classified as shade tolerant (according to morphology, less height growth and more crown expansion)</t>
  </si>
  <si>
    <t>SLA 7,81 m2 kg-1</t>
  </si>
  <si>
    <t>Figure 1 height in relation to total aboveground dry matterwith regression equations (see also table 2 &amp; 3 and figure 2)</t>
  </si>
  <si>
    <t>max_age</t>
  </si>
  <si>
    <t>respcoeff</t>
  </si>
  <si>
    <t>psla_a</t>
  </si>
  <si>
    <t>ceppot_spec</t>
  </si>
  <si>
    <t>table 6 maybe contains some useful data</t>
  </si>
  <si>
    <t>Psa</t>
  </si>
  <si>
    <t>note</t>
  </si>
  <si>
    <t>no valuable data available</t>
  </si>
  <si>
    <t>parameters from spruce are used</t>
  </si>
  <si>
    <t>data available but parameter calculation necessary, maybe more data necessary</t>
  </si>
  <si>
    <t>calculation by P. Lasch</t>
  </si>
  <si>
    <t>calculation by P. Lasch, Krischer, V. (1993); Bartelink, H. H. (1996); Gaffrey, D. (1996); Matsumura, N. (1988)</t>
  </si>
  <si>
    <t>Klopatek, J. M. (2007). "Litterfall and fine root biomass contribution to nutrient dynamics in second- and old-growth Douglas-fir ecosystems." Plant and Soil 294(1-2): 157-167.</t>
  </si>
  <si>
    <t>Table 4 mean carbon and nitrogen concentrations (g kg-1 biomass dry weight) and C:N ratios of live and dead fine roots…</t>
  </si>
  <si>
    <t>3 stands (2 young, 1 old-growth) with data for 3 years</t>
  </si>
  <si>
    <t>young stand</t>
  </si>
  <si>
    <t>C</t>
  </si>
  <si>
    <t>Douglas-alder</t>
  </si>
  <si>
    <t>old-growth</t>
  </si>
  <si>
    <t>mean residence times (forest floor mass/annual litterfall) (litterfall= leaves, needles, twigs, reproductive parts, lichens, mosses, bark, scales, frass) (years)</t>
  </si>
  <si>
    <t>p0</t>
  </si>
  <si>
    <t>p1</t>
  </si>
  <si>
    <t>crown_b</t>
  </si>
  <si>
    <t>p2</t>
  </si>
  <si>
    <t>croen_a</t>
  </si>
  <si>
    <t>p3</t>
  </si>
  <si>
    <t>Fit an Funktion BWINpro</t>
  </si>
  <si>
    <t>Kbreite</t>
  </si>
  <si>
    <t>Kradius</t>
  </si>
  <si>
    <t>KF</t>
  </si>
  <si>
    <t>diff</t>
  </si>
  <si>
    <t>Fit an daten</t>
  </si>
  <si>
    <t>KrR</t>
  </si>
  <si>
    <t>Turner, J. (1980); Klopatek, J. M. (2007)</t>
  </si>
  <si>
    <t>Table 5 gives information on biomass input in the three stands during the three years</t>
  </si>
  <si>
    <t>-</t>
  </si>
  <si>
    <t>m</t>
  </si>
  <si>
    <t>u</t>
  </si>
  <si>
    <t>Nr.</t>
  </si>
  <si>
    <t>BA</t>
  </si>
  <si>
    <t>Alter (Jahre)</t>
  </si>
  <si>
    <t>Mittl.KrD [m]</t>
  </si>
  <si>
    <t>Höhe(m)</t>
  </si>
  <si>
    <t>K-Ansatz(m)</t>
  </si>
  <si>
    <t>BHD (cm)</t>
  </si>
  <si>
    <t>Quelle</t>
  </si>
  <si>
    <t>GDG</t>
  </si>
  <si>
    <t>Nadelmasse [kgTS]</t>
  </si>
  <si>
    <t>Bartelink (p.c.)</t>
  </si>
  <si>
    <t>Krischer (1993)</t>
  </si>
  <si>
    <t>Burger, Tab. 16</t>
  </si>
  <si>
    <t>Cannell</t>
  </si>
  <si>
    <t>Künstle&amp;Mitsch.</t>
  </si>
  <si>
    <t>Soziol. Stellg.</t>
  </si>
  <si>
    <t>Burger Tab.1</t>
  </si>
  <si>
    <t>KrR (m)</t>
  </si>
  <si>
    <t>Turner, HöFkt. Young</t>
  </si>
  <si>
    <t>Zusammenstellung Blattmassenwerte Douglasie (Pseudotsuga menziesii)</t>
  </si>
  <si>
    <t>Zusammenstellung Kronenradienwerte Douglasie (Pseudotsuga menziesii)</t>
  </si>
  <si>
    <t>Übernommen aus alter Douglasie.xls</t>
  </si>
  <si>
    <t>Kopie aus anderer douglasi.xls</t>
  </si>
  <si>
    <t>pha</t>
  </si>
  <si>
    <t>regression equations for breast height sapwood area (cm2) and stem basal area (cms) under bark)</t>
  </si>
  <si>
    <t>regression equations for foliage area (m2) and foliage dry weight (kg) and sapwood area (cm2) and basal area (cm2) under bark</t>
  </si>
  <si>
    <t>Gruber, F. (1992). "Dynamik und Regeneration der Gehölze - Baumarchitektur auf ökologisch-dynamischer Grundlage und zur Bioindikation am Beispiele der Europäischen Fichte, Weißtanne, Douglasie und Europäischen Lärche." Book: 420.</t>
  </si>
  <si>
    <t>mean needle life span 5 years</t>
  </si>
  <si>
    <t>Gaffrey, D. (1996). "Sortenorientiertes Bestandeswachstums-Simulationsmodell auf der Basis intraspezifischen, konkurrenzbedingten Einzelbaumwachstus - insbesondere hinsichtlich des Durchmessers - am Beispiel der Douglasie"</t>
  </si>
  <si>
    <t>Korrelation zwischen Standfläche und Durchmesserzuwachs Seite 382 ff</t>
  </si>
  <si>
    <t>Allometriekoeffizienten Kronenradius Y als Funktion der Restkronenlänge X Seite 93ff, allerdings ohne Durchmesser</t>
  </si>
  <si>
    <t>Matsumura, N. (1988). Entwicklung und Anwendungsmöglichkeiten eines einzelbaumorientierten Simulationsmodells für Douglasie.</t>
  </si>
  <si>
    <t>Allometrisches Modell zu Durchmesserwachstum und Einfluss des Einzelstandraumes Seite 19 ff</t>
  </si>
  <si>
    <t>(m)</t>
  </si>
  <si>
    <t>s</t>
  </si>
  <si>
    <t>Kroondimensies</t>
  </si>
  <si>
    <t>Afd</t>
  </si>
  <si>
    <t>Bm</t>
  </si>
  <si>
    <t>Soc</t>
  </si>
  <si>
    <t>Dbh</t>
  </si>
  <si>
    <t>H</t>
  </si>
  <si>
    <t>Hok</t>
  </si>
  <si>
    <t>Tak</t>
  </si>
  <si>
    <t>Nld</t>
  </si>
  <si>
    <t>Nopp</t>
  </si>
  <si>
    <t>Sapar</t>
  </si>
  <si>
    <t>crl</t>
  </si>
  <si>
    <t>crrad</t>
  </si>
  <si>
    <t>crvol</t>
  </si>
  <si>
    <t>Mantl</t>
  </si>
  <si>
    <t>(-)</t>
  </si>
  <si>
    <t>(cm)</t>
  </si>
  <si>
    <t>(kg)</t>
  </si>
  <si>
    <t>(m2)</t>
  </si>
  <si>
    <t>(cm2)</t>
  </si>
  <si>
    <t>(m3)</t>
  </si>
  <si>
    <t>plot nr.</t>
  </si>
  <si>
    <t>tree number</t>
  </si>
  <si>
    <t>social class or dominance posisiton of the tree</t>
  </si>
  <si>
    <t>stem diameter at breast height</t>
  </si>
  <si>
    <t>tree top height</t>
  </si>
  <si>
    <t>Mailly, D. and J. P. Kimmins (1997). "Growth of Pseudotsuga menziesii and Tsuga heterophylla seedlings along a light gradient: resource allocation and morphological acclimation." Canadian Journal Of Botany-Revue Canadienne De Botanique 75(9): 1424-1435.</t>
  </si>
  <si>
    <t>table 1 Means of selected growth characters of Douglas-fir seedlings</t>
  </si>
  <si>
    <t>growth character</t>
  </si>
  <si>
    <t>height (cm)</t>
  </si>
  <si>
    <t>diameter (mm)</t>
  </si>
  <si>
    <t>height/ diameter ratio H/D</t>
  </si>
  <si>
    <t>Foliage biomass (g)</t>
  </si>
  <si>
    <t>stem biomass (g)</t>
  </si>
  <si>
    <t>branch biomass (g)</t>
  </si>
  <si>
    <t>aboveground biomass (g)</t>
  </si>
  <si>
    <t>root biomass (g)</t>
  </si>
  <si>
    <t>total biomas (g)</t>
  </si>
  <si>
    <t>total leaf area (cm2)</t>
  </si>
  <si>
    <t>SLA (cm2*g-1)</t>
  </si>
  <si>
    <t>Mailly, D. and J. P. Kimmins (1997)</t>
  </si>
  <si>
    <t>SLA decreased with increasing relative light index (RLI)</t>
  </si>
  <si>
    <t>SLA constant at 80 cm2*g-1 at 0,4 and 1 RLI then increase up to 125 cm2*-g at low light levels</t>
  </si>
  <si>
    <t>table 4: linear regressions for selected growth and leaf characters of Douglas-fir (N=95) on RLI two seasons after planting</t>
  </si>
  <si>
    <t>foliage biomass (g)</t>
  </si>
  <si>
    <t>variable</t>
  </si>
  <si>
    <t>equation</t>
  </si>
  <si>
    <t>ln(FO)=0,474+3,251(RLI)</t>
  </si>
  <si>
    <t>stem biomass(g)</t>
  </si>
  <si>
    <t>ln(ST)=0,961+2,880(RLI)</t>
  </si>
  <si>
    <t>ln(BR)=-0,451+3,676(RLI)</t>
  </si>
  <si>
    <t>Aboveground biomass (g)</t>
  </si>
  <si>
    <t>ln(AGR)1,616+2,505(RLI)</t>
  </si>
  <si>
    <t>Root biomass (g)</t>
  </si>
  <si>
    <t>ln(RT)=1,57+2,505(RLI)</t>
  </si>
  <si>
    <t>Aboveground to root biomass ration (g)</t>
  </si>
  <si>
    <t>AGR/RT=1,096+0,942(RLI)</t>
  </si>
  <si>
    <t>Total leaf area (cm2)</t>
  </si>
  <si>
    <t>ln(TLA)=5,092+2,9(RLI)</t>
  </si>
  <si>
    <t>figure 3 SLA (cm2*g-1) as a function of RLI</t>
  </si>
  <si>
    <t>SLA=75,4+53,6e^(-8,6 RLI)</t>
  </si>
  <si>
    <r>
      <t xml:space="preserve">Chen, H. Y. H., K. Klinka, et al. (1996); Nippert, J. B. and J. D. Marshall (2003); </t>
    </r>
    <r>
      <rPr>
        <b/>
        <sz val="10"/>
        <rFont val="Arial"/>
        <family val="2"/>
      </rPr>
      <t xml:space="preserve">Duursma, R. A., J. D. Marshall, et al. (2005); </t>
    </r>
    <r>
      <rPr>
        <sz val="10"/>
        <rFont val="Arial"/>
        <family val="2"/>
      </rPr>
      <t>Mailly, D. and J. P. Kimmins (1997)</t>
    </r>
  </si>
  <si>
    <t>height increment (cm)</t>
  </si>
  <si>
    <t>diameter increment (cm)</t>
  </si>
  <si>
    <t>table 3 weighted linear regressions for height increment (1994), diameter increment (1994), height, diameter, and height/diameter ratio of Douglas-fir (N=349) seedlings on RLI, two growing seasons after planting</t>
  </si>
  <si>
    <t>H=36,6+40,4(RLI)</t>
  </si>
  <si>
    <t>Hi=4,145+34,5(RLI)</t>
  </si>
  <si>
    <t>Di=0,221+8.4(RLI)</t>
  </si>
  <si>
    <t>diameter (cm)</t>
  </si>
  <si>
    <t>D=3,955+12,7(RLI)</t>
  </si>
  <si>
    <t>height/diameter ratio (H/D)</t>
  </si>
  <si>
    <t>H/D=8,347-4,3(RLI)</t>
  </si>
  <si>
    <t>Vandendriessche, R. (1992); Khan, S. R., R. Rose, et al. (2000); Dekker, M., M. van Breugel, et al. (2007); Rose, R. and D. L. Haase (2005); Mailly, D. and J. P. Kimmins (1997)</t>
  </si>
  <si>
    <t>height of the tree crown base</t>
  </si>
  <si>
    <t>tree stem  biomass (dry weight)</t>
  </si>
  <si>
    <t>tree branch biomass (dry weight)</t>
  </si>
  <si>
    <t>tree needle biomass (dry weight)</t>
  </si>
  <si>
    <t>tree needle area (fresh)</t>
  </si>
  <si>
    <t>sapwood area at breast height</t>
  </si>
  <si>
    <t>crown length</t>
  </si>
  <si>
    <t>crown radius</t>
  </si>
  <si>
    <t>crown volume</t>
  </si>
  <si>
    <t>crown mantle area</t>
  </si>
  <si>
    <t>Table 5</t>
  </si>
  <si>
    <t>estimated stand biomass (t ha-1)</t>
  </si>
  <si>
    <t>stand</t>
  </si>
  <si>
    <t>needle</t>
  </si>
  <si>
    <t>crown</t>
  </si>
  <si>
    <t>stem</t>
  </si>
  <si>
    <t>allometric relationship  0.083 but calculated for ratio biomass needles/ sapwood area at DBH</t>
  </si>
  <si>
    <t>Maguire, D. A. and W. S. Bennett (1996). "Patterns in vertical distribution of foliage in young coastal Douglas-fir." Canadian Journal of Forest Research-Revue Canadienne De Recherche Forestiere 26(11): 1991-2005.</t>
  </si>
  <si>
    <t>Maguire, D. A. and J. L. F. Batista (1996). "Sapwood taper models and implied sapwood volume and foliage profiles for coastal Douglas-fir." Canadian Journal of Forest Research-Revue Canadienne De Recherche Forestiere 26(5): 849-863.</t>
  </si>
  <si>
    <t>from 138 sample trees: Leaf mass = mean110.76 g; SD 156.69 g</t>
  </si>
  <si>
    <t>from 134 modeling trees (felled for model calculation): mean sapwod area at crown base= 101 cm2 SD 98 cm2</t>
  </si>
  <si>
    <t>from 21 modeling trees (felled for model validation): mean sapwod area at crown base= 105 cm2 SD 55 cm3</t>
  </si>
  <si>
    <t>note: sample plots are the same than in Maguire &amp; Bennett 1996 but diferent trees.</t>
  </si>
  <si>
    <t>Brix, H. and A. K. Mitchell (1983). "Thinning and Nitrogen-Fertilization Effects on Sapwood Development and Relationships of Foliage Quantity to Sapwood Area and Basal Area in Douglas-Fir." Canadian Journal of Forest Research-Revue Canadienne De Recherche Forestiere 13(3): 384-389.</t>
  </si>
  <si>
    <t>relationships for leaf mass as function of conducting sapwood area [kg cm-2]</t>
  </si>
  <si>
    <t>F = a+b*A</t>
  </si>
  <si>
    <t>treatment</t>
  </si>
  <si>
    <t>r2</t>
  </si>
  <si>
    <t>x-range</t>
  </si>
  <si>
    <t>not thinned, not fertilized</t>
  </si>
  <si>
    <t>14-267</t>
  </si>
  <si>
    <t>thinned to 1/3 BA, not fertilized</t>
  </si>
  <si>
    <t>60-269</t>
  </si>
  <si>
    <t>not thinned, fertilized 448 kg N as urea</t>
  </si>
  <si>
    <t>30-280</t>
  </si>
  <si>
    <t>thinned to 1/3 BA, fertilized 448 kg N as urea</t>
  </si>
  <si>
    <t>79-299</t>
  </si>
  <si>
    <t>combined data</t>
  </si>
  <si>
    <t>14-299</t>
  </si>
  <si>
    <t>0.089</t>
  </si>
  <si>
    <t>fine root turnover is between0.75-1year-1</t>
  </si>
  <si>
    <t>0.75-1</t>
  </si>
  <si>
    <t>Bartelink, H. H. (1998); Maguire, D. A. and W. S. Bennett (1996); Maguire, D. A. and J. L. F. Batista (1996); Bartelink, H. H. (1996); Brix, H. and A. K. Mitchell (1983)</t>
  </si>
  <si>
    <t>0.083 - 0,103333</t>
  </si>
  <si>
    <t>TAB 2: SLA = 5.743 m2kg-1</t>
  </si>
  <si>
    <t>Wseed</t>
  </si>
  <si>
    <t>0.01</t>
  </si>
  <si>
    <t>Bürschel &amp; Huss 1987 (???)</t>
  </si>
  <si>
    <t>Light extinction coefficient changes as a function of both RD and LAI</t>
  </si>
  <si>
    <t>pfext=0,42 for RD 17 and LAI/ cos(light angle) 8</t>
  </si>
  <si>
    <t>pfext=0,26 for RD 3 and LAI/ cos(light angle) 4</t>
  </si>
  <si>
    <t>note: canopy gaps = less extinction</t>
  </si>
  <si>
    <t>pfext=0,5, high RD</t>
  </si>
  <si>
    <t>clumping = lower RD</t>
  </si>
  <si>
    <t>Bartelink 1998 Radiation interception by forests trees: a simulation study on effects of stand density and foliage clustering on absoprtion and transmission. Ecological modelling. 105:213-225.</t>
  </si>
  <si>
    <t>critics on Pierce &amp; Running 1988 that assume pfext = 0,52 for all conifers</t>
  </si>
  <si>
    <t>Carter &amp; Klinka 1992. Variation in shade tolerance of Douglas fir, western hemlock, and western red cedar in coastal BC. Forest Ecology and Mangement 55:87-105</t>
  </si>
  <si>
    <t>intraspecific variation in shade tolerance according to site fertility and moisture</t>
  </si>
  <si>
    <t>Bond etal. 1999. foliage physiology and biochemistry in response to light  gradients in conifers with varying shade tolerance. Oecologia 120:183-192</t>
  </si>
  <si>
    <t>western hemlock more shade tolerant than douglas-fir than pinus ponderosa</t>
  </si>
  <si>
    <t xml:space="preserve">Chen, H. Y. H. (1997). "Interspecific responses of planted seedlings to light availability in interior British Columbia: survival, growth, allometric patterns, and specific leaf area." Canadian Journal Of Forest Research-Revue Canadienne De Recherche Forestiere 27(9): 1383-1393
</t>
  </si>
  <si>
    <t>Douglas Fir = moderatly shade tolerant tree species and plastic behaviour</t>
  </si>
  <si>
    <t>Williams, H., C. Messier, et al. (1999). "Effects of light availability and sapling size on the growth and crown morphology of understory Douglas-fir and lodgepole pine." Canadian Journal Of Forest Research-Revue Canadienne De Recherche Forestiere 29(2): 222-231</t>
  </si>
  <si>
    <t>Douglas fir more shade tolerant than lodgepole pine</t>
  </si>
  <si>
    <t>Douglas Fir less shade tolerant than western red cedar and western hemlock</t>
  </si>
  <si>
    <t>Chen, H. Y. H., K. Klinka, et al. (1996). "Effects of light on growth, crown architecture, and specific leaf area for naturally established Pinus contorta var latifolia and Pseudotsuga menziesii var glauca saplings." Canadian Journal Of Forest Research-Revue Canadienne De Recherche Forestiere 26(7): 1149-1157</t>
  </si>
  <si>
    <t>Douglas fir less shade tolerant than: Acer saccarum, Fagus grandifolia, Tsuga Heterophylla, Thuja plicata, Abies amabilis, Abies lasiocarpa</t>
  </si>
  <si>
    <t>cr_frac</t>
  </si>
  <si>
    <t>biomass coarse roots/ biomass coarse roots +twigs +branches</t>
  </si>
  <si>
    <t>sum biomass medium and large roots (coarse roots)</t>
  </si>
  <si>
    <t>Douglas fir higher plasticity (lateral shots increase more than terminal ones in low-light environment) = changed allocation pattern</t>
  </si>
  <si>
    <t>Higher Specific leaf area (SLA) with decreased light and changed crown architecture</t>
  </si>
  <si>
    <t>Jussy, J. H., M. Colin-Belgrand, et al. (2000). "Production and root uptake of mineral nitrogen in a chronosequence of Douglas-fir (Pseudotsuga menziesii) in the Beaujolais Mounts." Forest Ecology And Management 128(3): 197-209.</t>
  </si>
  <si>
    <t>Ncon (N/biomass)</t>
  </si>
  <si>
    <t>biomass (g)</t>
  </si>
  <si>
    <t>N (mg)</t>
  </si>
  <si>
    <t>Ncon  large and medium roots</t>
  </si>
  <si>
    <t>Ncon_fol</t>
  </si>
  <si>
    <t>Ncon_frt</t>
  </si>
  <si>
    <t>Ncon_crt</t>
  </si>
  <si>
    <t>Ncon_tbc</t>
  </si>
  <si>
    <t>Ncon_stem</t>
  </si>
  <si>
    <t>Older stands higher N uptake fluxes, but still leaching</t>
  </si>
  <si>
    <t>method: mineral N budget inside and outside cylinders measured and calculation of fluxes with several equations</t>
  </si>
  <si>
    <t>mineral N uptake between 118-178kg ha-1 year-1</t>
  </si>
  <si>
    <t>N uptake between 31-43 kg ha-1 year-1</t>
  </si>
  <si>
    <t>method calculated from equation: uptake = immobilization+ restitution (litterfall+crown leaching)</t>
  </si>
  <si>
    <t>Jussy, J. H., M. Colin-Belgrand, et al. (2004). "N deposition, N transformation and N leaching in acid forest soils." Biogeochemistry 69(2): 241-262.</t>
  </si>
  <si>
    <t>N uptake 119-160 kg ha-1 year -1</t>
  </si>
  <si>
    <t>Olsthoorn, A. F. M., W. G. Keltjens, et al. (1991). "Influence Of Ammonium On Fine Root Development And Rhizosphere Ph Of Douglas-Fir Seedlings In Sand." Plant And Soil 133(1): 75-81.</t>
  </si>
  <si>
    <t>root dry weight: 3,3 g/ plant</t>
  </si>
  <si>
    <t>8 month young seedlings…</t>
  </si>
  <si>
    <t>Table 7:</t>
  </si>
  <si>
    <t>mean annual N uptake stands 20-60 years old: 31-67kg/ha</t>
  </si>
  <si>
    <t>according to Santantonio (1977) between 5-10 t of fine root dry matter were produced each year on mature stands</t>
  </si>
  <si>
    <t>Ranger, J. and D. Gelhaye (2001). "Belowground biomass and nutrient content in a 47-year-old Douglas-fir plantation." Annals Of Forest Science 58(4): 423-430.</t>
  </si>
  <si>
    <t>Table 4:</t>
  </si>
  <si>
    <t>2,1 t ha-1 biomass fine roots (not very fine roots ==&gt; underestimation)</t>
  </si>
  <si>
    <t>Pruyn, M. L., M. E. Harmon, et al. (2003). "Stem respiratory potential in six softwood and four hardwood tree species in the central cascades of Oregon." Oecologia 137(1): 10-21.</t>
  </si>
  <si>
    <t>only measurements in dormant season to focus on maintenance respiration</t>
  </si>
  <si>
    <t>Breast height respiratory potential (nmol co2 cm-3 s-1 at 25° except march year 1 at 15°)</t>
  </si>
  <si>
    <t>Tab. 25</t>
  </si>
  <si>
    <r>
      <t>Durchschnittliche Stammatmung</t>
    </r>
    <r>
      <rPr>
        <sz val="10"/>
        <rFont val="MS Sans Serif"/>
        <family val="2"/>
      </rPr>
      <t xml:space="preserve"> in mg CO</t>
    </r>
    <r>
      <rPr>
        <vertAlign val="subscript"/>
        <sz val="10"/>
        <rFont val="MS Sans Serif"/>
        <family val="2"/>
      </rPr>
      <t>2</t>
    </r>
    <r>
      <rPr>
        <sz val="10"/>
        <rFont val="MS Sans Serif"/>
        <family val="2"/>
      </rPr>
      <t xml:space="preserve"> / dm</t>
    </r>
    <r>
      <rPr>
        <vertAlign val="superscript"/>
        <sz val="10"/>
        <rFont val="MS Sans Serif"/>
        <family val="2"/>
      </rPr>
      <t>2</t>
    </r>
    <r>
      <rPr>
        <sz val="10"/>
        <rFont val="MS Sans Serif"/>
        <family val="2"/>
      </rPr>
      <t xml:space="preserve"> * h</t>
    </r>
  </si>
  <si>
    <t>1973/4</t>
  </si>
  <si>
    <t>1. Meßserie (Messung am gleichen Baum in verschiedener Höhe)</t>
  </si>
  <si>
    <t>Durchmesser in cm:</t>
  </si>
  <si>
    <t>i.D.</t>
  </si>
  <si>
    <t>Douglasie</t>
  </si>
  <si>
    <t>KÜNSTLE, E. UND MITSCHERLICH, G. 1975: Photosynthese, Transpiration und Atmung in einem Mischbestand im Schwarzwald. I. Photosynthese. Allg. Forst- und Jagdztg. 146: 45-63</t>
  </si>
  <si>
    <t>KÜNSTLE, E. UND MITSCHERLICH, G. 1975: Photosynthese, Transpiration und Atmung in einem Mischbestand im Schwarzwald. II. Transpiration. Allg. Forst- und Jagdztg. 146: 88-100</t>
  </si>
  <si>
    <t>KÜNSTLE, E. UND MITSCHERLICH, G. 1976: Photosynthese, Transpiration und Atmung in einem Mischbestand im Schwarzwald. III. Atmung. Allg. Forst- und Jagdztg. 147: 169-177</t>
  </si>
  <si>
    <t>Kurz, W. A. (1989). "Net primary production, production allocation, and foliage efficiency in second growth Dougkas-fir stands with differing site quality." PHD Thesis.</t>
  </si>
  <si>
    <t>table 3.2 ten regression equations for predicting foliage biomasss (from dbh)</t>
  </si>
  <si>
    <t>table 3.3 six regression equations for predicitng foliage biomass (from sapwood area)</t>
  </si>
  <si>
    <t>table 3.4 six regression models for predicting branchwood biomass (from dbh)</t>
  </si>
  <si>
    <t>table 3.5 six regression equations for predicting stemwood biomass (from dbh)</t>
  </si>
  <si>
    <t>table 3.6 six regression equations for predicting stembark biomass (from dbh)</t>
  </si>
  <si>
    <t>table 3.12 biomass data</t>
  </si>
  <si>
    <t>page 43:three regression equations for foliage (from dbh)</t>
  </si>
  <si>
    <t>page 55: regression equation for branchwood biomass</t>
  </si>
  <si>
    <t>page 60: regression equations for stemwood and stembark biomass (from dbh)</t>
  </si>
  <si>
    <t>table 4.4 total stand biomass, foliage, branches, stemwood, stembark, coarse roots</t>
  </si>
  <si>
    <t>table 4.5 distribution of the biomass components as percentage of aboveground biomasss</t>
  </si>
  <si>
    <t>table 4.6 annual production of foliage, brach, stemwood, stembark, coarse rots biomass</t>
  </si>
  <si>
    <t>table 4.7 results from 4.6 expressed as percentage of aboveground biomass</t>
  </si>
  <si>
    <t>table 5.5 fine and small root biomass</t>
  </si>
  <si>
    <t>table 5.7 live small root biomass</t>
  </si>
  <si>
    <t>table 5.9 annual fine root production and mortality</t>
  </si>
  <si>
    <t>table 5.11 annual small root production and mortality</t>
  </si>
  <si>
    <t>Bartelink, H. H. (2000); Bartelink, H. H. (1998); Kurz, W. A. (1989)</t>
  </si>
  <si>
    <t>Lyr, Horst, Hoffmann, Günter und Engel, Werner (1964); Ponette, Q., J. Ranger, et al. (2001); Ranger, J., R. Marques, et al. (1995); Chen, H., M. E. Harmon, et al. (2001); Gower, S. T., K. A. Vogt, et al. (1992); Santantonio, D., R. K. Hermann, et al. (1977); Bartelink, H. H., K. Kramer, et al. (1997); Ranger, J. and D. Gelhaye (2001); Webb, W. L. (1991a); Klopatek, J. M. (2007); Edmonds, R. L. (1979); Edmonds, R. L., D. J. Vogt, et al. (1986); Hope, G. D., C. E. Prescott, et al. (2003); Cole, D. W., S.P. Gessel , S.F. Dice (1967) Kurz, W. A. (1989)</t>
  </si>
  <si>
    <t>table 5.12 turnover rates of fine roots</t>
  </si>
  <si>
    <t>table 5.13 turnover rates of small roots</t>
  </si>
  <si>
    <r>
      <t xml:space="preserve">Ranger, J., R. Marques, et al. (1995; Dekort, I. (1993); Krischer, V. (1993); Maguire, D. A. and J. L. F. Batista (1996); Bartelink, H. H. (1996); Brix, H. and A. K. Mitchell (1983); Harmon, M. E., K. Bible, et al. (2004); </t>
    </r>
    <r>
      <rPr>
        <b/>
        <sz val="10"/>
        <rFont val="MS Sans Serif"/>
        <family val="2"/>
      </rPr>
      <t>Kurz, W. A. (1989)</t>
    </r>
  </si>
  <si>
    <t>KÜNSTLE, E. UND MITSCHERLICH, G. 1977: Photosynthese, Transpiration und Atmung in einem Mischbestand im Schwarzwald. IV. Bilanz. Allg. Forst- und Jagdztg. 148: 227-239</t>
  </si>
  <si>
    <t>Santantonio, D. and R. K. Hermann (1985). "Standing Crop, Production, and Turnover of Fine Roots on Dry, Moderate, and Wet Sites of Mature Douglas-Fir in Western Oregon." Annales Des Sciences Forestieres 42(2): 113-142.</t>
  </si>
  <si>
    <t>moderate</t>
  </si>
  <si>
    <t>dry</t>
  </si>
  <si>
    <t>wet</t>
  </si>
  <si>
    <t>live &lt;1mm</t>
  </si>
  <si>
    <t>live 1-5mm</t>
  </si>
  <si>
    <t>Harmon, M. E., K. Bible, et al. (2004). "Production, respiration, and overall carbon balance in an old-growth Pseudotsuga-tsuga forest ecosystem." Ecosystems 7(5): 498-512.</t>
  </si>
  <si>
    <t>autotrophic respiration</t>
  </si>
  <si>
    <t>coarse and fine roots annual autotrophic respiration: 441 g C m-2y-1</t>
  </si>
  <si>
    <t>Webb, W. L. (1991). "Atmospheric Co2, Climate Change, and Tree Growth - a Process Model .1. Model Structure." Ecological Modelling 56(1-4): 81-107.</t>
  </si>
  <si>
    <t>growth respiration coefficient is 0,25</t>
  </si>
  <si>
    <t>Smith 1993, Estimating Leaf area index and light extinction coefficients in stands of Douglas-fir (Can. J. For. Res. 23: 317-321)</t>
  </si>
  <si>
    <t>Reference</t>
  </si>
  <si>
    <t>Notes</t>
  </si>
  <si>
    <t>modeling results for pfext between 0.17-0.33</t>
  </si>
  <si>
    <t>general: lower than calculations with Lambert-Beer</t>
  </si>
  <si>
    <t>Parameter</t>
  </si>
  <si>
    <t>References</t>
  </si>
  <si>
    <t>pfext</t>
  </si>
  <si>
    <t>stol</t>
  </si>
  <si>
    <t>Carter &amp; Klinka 1992; Chen, H. Y. H., K. Klinka, et al. (1996); Williams, H., C. Messier, et al. (1999); Chen, H. Y. H. (1997); Bond etal. 1999</t>
  </si>
  <si>
    <t>sigman</t>
  </si>
  <si>
    <t>Ranger, J., R. Marques, et al. (1995). "The Dynamics Of Biomass And Nutrient Accumulation In A Douglas-Fir (Pseudotsuga-Menziesii Franco) Stand Studied Using A Chronosequence Approach." Forest Ecology And Management 72(2-3): 167-183.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</si>
</sst>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2" formatCode="0.0"/>
    <numFmt numFmtId="190" formatCode="#,##0.0"/>
    <numFmt numFmtId="194" formatCode="0.00_)"/>
    <numFmt numFmtId="195" formatCode="0_)"/>
    <numFmt numFmtId="196" formatCode="0.0_)"/>
    <numFmt numFmtId="197" formatCode="0.000_)"/>
  </numFmts>
  <fonts count="22" x14ac:knownFonts="1">
    <font>
      <sz val="10"/>
      <name val="Arial"/>
    </font>
    <font>
      <sz val="10"/>
      <name val="Arial"/>
    </font>
    <font>
      <sz val="8"/>
      <name val="Arial"/>
      <family val="2"/>
    </font>
    <font>
      <b/>
      <sz val="10"/>
      <name val="MS Sans Serif"/>
      <family val="2"/>
    </font>
    <font>
      <sz val="10"/>
      <name val="MS Sans Serif"/>
      <family val="2"/>
    </font>
    <font>
      <vertAlign val="subscript"/>
      <sz val="10"/>
      <name val="MS Sans Serif"/>
      <family val="2"/>
    </font>
    <font>
      <vertAlign val="superscript"/>
      <sz val="10"/>
      <name val="MS Sans Serif"/>
      <family val="2"/>
    </font>
    <font>
      <b/>
      <sz val="10"/>
      <name val="Arial"/>
      <family val="2"/>
    </font>
    <font>
      <sz val="10"/>
      <name val="MS Sans Serif"/>
      <family val="2"/>
    </font>
    <font>
      <sz val="10"/>
      <color indexed="10"/>
      <name val="Arial"/>
      <family val="2"/>
    </font>
    <font>
      <sz val="10"/>
      <color indexed="48"/>
      <name val="Arial"/>
      <family val="2"/>
    </font>
    <font>
      <i/>
      <sz val="10"/>
      <name val="MS Sans Serif"/>
      <family val="2"/>
    </font>
    <font>
      <b/>
      <i/>
      <sz val="10"/>
      <name val="Arial"/>
      <family val="2"/>
    </font>
    <font>
      <sz val="10"/>
      <name val="Arial"/>
      <family val="2"/>
    </font>
    <font>
      <sz val="10"/>
      <color indexed="48"/>
      <name val="Arial"/>
      <family val="2"/>
    </font>
    <font>
      <sz val="12"/>
      <name val="Courier"/>
      <family val="3"/>
    </font>
    <font>
      <b/>
      <sz val="12"/>
      <name val="MS Sans Serif"/>
      <family val="2"/>
    </font>
    <font>
      <b/>
      <sz val="8"/>
      <color indexed="81"/>
      <name val="Tahoma"/>
      <family val="2"/>
    </font>
    <font>
      <sz val="8"/>
      <color indexed="81"/>
      <name val="Tahoma"/>
      <family val="2"/>
    </font>
    <font>
      <b/>
      <sz val="12"/>
      <name val="Arial"/>
      <family val="2"/>
    </font>
    <font>
      <sz val="10"/>
      <color indexed="10"/>
      <name val="Arial"/>
      <family val="2"/>
    </font>
    <font>
      <sz val="10"/>
      <color indexed="10"/>
      <name val="MS Sans Serif"/>
      <family val="2"/>
    </font>
  </fonts>
  <fills count="6">
    <fill>
      <patternFill patternType="none"/>
    </fill>
    <fill>
      <patternFill patternType="gray125"/>
    </fill>
    <fill>
      <patternFill patternType="solid">
        <fgColor indexed="13"/>
        <bgColor indexed="64"/>
      </patternFill>
    </fill>
    <fill>
      <patternFill patternType="solid">
        <fgColor indexed="57"/>
        <bgColor indexed="64"/>
      </patternFill>
    </fill>
    <fill>
      <patternFill patternType="solid">
        <fgColor indexed="10"/>
        <bgColor indexed="64"/>
      </patternFill>
    </fill>
    <fill>
      <patternFill patternType="solid">
        <fgColor indexed="43"/>
        <bgColor indexed="64"/>
      </patternFill>
    </fill>
  </fills>
  <borders count="9">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 fillId="0" borderId="0" applyNumberFormat="0" applyFont="0" applyFill="0" applyBorder="0" applyAlignment="0" applyProtection="0">
      <alignment vertical="top"/>
    </xf>
    <xf numFmtId="194" fontId="15" fillId="0" borderId="0"/>
  </cellStyleXfs>
  <cellXfs count="89">
    <xf numFmtId="0" fontId="0" fillId="0" borderId="0" xfId="0"/>
    <xf numFmtId="0" fontId="0" fillId="0" borderId="0" xfId="0" applyAlignment="1">
      <alignment wrapText="1"/>
    </xf>
    <xf numFmtId="0" fontId="0" fillId="0" borderId="0" xfId="0" applyNumberFormat="1"/>
    <xf numFmtId="2" fontId="0" fillId="0" borderId="0" xfId="0" applyNumberFormat="1"/>
    <xf numFmtId="0" fontId="3" fillId="0" borderId="0" xfId="1" applyNumberFormat="1" applyFont="1" applyFill="1" applyBorder="1" applyAlignment="1" applyProtection="1">
      <alignment vertical="top"/>
    </xf>
    <xf numFmtId="0" fontId="4" fillId="0" borderId="0" xfId="1" applyNumberFormat="1" applyFont="1" applyFill="1" applyBorder="1" applyAlignment="1" applyProtection="1">
      <alignment vertical="top"/>
    </xf>
    <xf numFmtId="0" fontId="4" fillId="0" borderId="0" xfId="1" applyNumberFormat="1" applyFill="1" applyBorder="1" applyAlignment="1" applyProtection="1">
      <alignment vertical="top"/>
    </xf>
    <xf numFmtId="0" fontId="7" fillId="0" borderId="0" xfId="0" applyFont="1"/>
    <xf numFmtId="0" fontId="0" fillId="0" borderId="0" xfId="0" applyFill="1"/>
    <xf numFmtId="0" fontId="7" fillId="0" borderId="0" xfId="0" applyNumberFormat="1" applyFont="1"/>
    <xf numFmtId="16" fontId="0" fillId="0" borderId="0" xfId="0" applyNumberFormat="1"/>
    <xf numFmtId="2" fontId="0" fillId="0" borderId="0" xfId="0" applyNumberFormat="1" applyProtection="1">
      <protection locked="0"/>
    </xf>
    <xf numFmtId="0" fontId="8" fillId="0" borderId="0" xfId="1" applyNumberFormat="1" applyFont="1" applyFill="1" applyBorder="1" applyAlignment="1" applyProtection="1">
      <alignment vertical="top"/>
    </xf>
    <xf numFmtId="0" fontId="4" fillId="0" borderId="1" xfId="1" applyNumberFormat="1" applyFill="1" applyBorder="1" applyAlignment="1" applyProtection="1">
      <alignment vertical="top"/>
    </xf>
    <xf numFmtId="0" fontId="4" fillId="0" borderId="1" xfId="1" applyNumberFormat="1" applyFont="1" applyFill="1" applyBorder="1" applyAlignment="1" applyProtection="1">
      <alignment vertical="top"/>
    </xf>
    <xf numFmtId="2" fontId="4" fillId="0" borderId="1" xfId="1" applyNumberFormat="1" applyFont="1" applyFill="1" applyBorder="1" applyAlignment="1" applyProtection="1">
      <alignment vertical="top"/>
    </xf>
    <xf numFmtId="2" fontId="4" fillId="0" borderId="0" xfId="1" applyNumberFormat="1" applyFont="1" applyFill="1" applyBorder="1" applyAlignment="1" applyProtection="1">
      <alignment vertical="top"/>
    </xf>
    <xf numFmtId="0" fontId="11" fillId="0" borderId="0" xfId="1" applyNumberFormat="1" applyFont="1" applyFill="1" applyBorder="1" applyAlignment="1" applyProtection="1">
      <alignment vertical="top"/>
    </xf>
    <xf numFmtId="49" fontId="4" fillId="0" borderId="0" xfId="1" applyNumberFormat="1" applyFill="1" applyBorder="1" applyAlignment="1" applyProtection="1">
      <alignment vertical="top"/>
    </xf>
    <xf numFmtId="0" fontId="4" fillId="0" borderId="0" xfId="1" applyNumberFormat="1" applyFill="1" applyBorder="1" applyAlignment="1" applyProtection="1">
      <alignment horizontal="right" vertical="top"/>
    </xf>
    <xf numFmtId="0" fontId="4" fillId="0" borderId="2" xfId="1" applyNumberFormat="1" applyFont="1" applyFill="1" applyBorder="1" applyAlignment="1" applyProtection="1">
      <alignment vertical="top"/>
    </xf>
    <xf numFmtId="0" fontId="4" fillId="0" borderId="2" xfId="1" applyNumberFormat="1" applyFill="1" applyBorder="1" applyAlignment="1" applyProtection="1">
      <alignment vertical="top"/>
    </xf>
    <xf numFmtId="2" fontId="4" fillId="0" borderId="2" xfId="1" applyNumberFormat="1" applyFont="1" applyFill="1" applyBorder="1" applyAlignment="1" applyProtection="1">
      <alignment vertical="top"/>
    </xf>
    <xf numFmtId="0" fontId="4" fillId="0" borderId="0" xfId="1" applyNumberFormat="1" applyFont="1" applyFill="1" applyBorder="1" applyAlignment="1" applyProtection="1">
      <alignment horizontal="center" vertical="top"/>
    </xf>
    <xf numFmtId="2" fontId="4" fillId="0" borderId="0" xfId="1" applyNumberFormat="1" applyFont="1" applyFill="1" applyBorder="1" applyAlignment="1" applyProtection="1">
      <alignment horizontal="center" vertical="top"/>
    </xf>
    <xf numFmtId="0" fontId="4" fillId="0" borderId="0" xfId="1" applyNumberFormat="1" applyFill="1" applyBorder="1" applyAlignment="1" applyProtection="1">
      <alignment horizontal="center" vertical="top"/>
    </xf>
    <xf numFmtId="9" fontId="4" fillId="0" borderId="0" xfId="1" applyNumberFormat="1" applyFont="1" applyFill="1" applyBorder="1" applyAlignment="1" applyProtection="1">
      <alignment horizontal="center" vertical="top"/>
    </xf>
    <xf numFmtId="2" fontId="4" fillId="0" borderId="0" xfId="1" applyNumberFormat="1" applyFill="1" applyBorder="1" applyAlignment="1" applyProtection="1">
      <alignment horizontal="center" vertical="top"/>
    </xf>
    <xf numFmtId="9" fontId="4" fillId="0" borderId="0" xfId="1" applyNumberFormat="1" applyFont="1" applyFill="1" applyBorder="1" applyAlignment="1" applyProtection="1">
      <alignment vertical="top"/>
    </xf>
    <xf numFmtId="0" fontId="9" fillId="0" borderId="0" xfId="0" applyFont="1"/>
    <xf numFmtId="0" fontId="12" fillId="0" borderId="0" xfId="0" applyFont="1"/>
    <xf numFmtId="2" fontId="9" fillId="0" borderId="0" xfId="0" applyNumberFormat="1" applyFont="1"/>
    <xf numFmtId="172" fontId="0" fillId="0" borderId="0" xfId="0" applyNumberFormat="1"/>
    <xf numFmtId="0" fontId="0" fillId="0" borderId="3" xfId="0" applyBorder="1"/>
    <xf numFmtId="0" fontId="0" fillId="0" borderId="4" xfId="0" applyBorder="1"/>
    <xf numFmtId="0" fontId="0" fillId="0" borderId="1" xfId="0" applyBorder="1"/>
    <xf numFmtId="0" fontId="0" fillId="0" borderId="5" xfId="0" applyBorder="1"/>
    <xf numFmtId="0" fontId="0" fillId="0" borderId="6" xfId="0" applyBorder="1"/>
    <xf numFmtId="0" fontId="0" fillId="0" borderId="0" xfId="0" applyBorder="1"/>
    <xf numFmtId="0" fontId="13" fillId="0" borderId="5" xfId="0" applyFont="1" applyBorder="1"/>
    <xf numFmtId="0" fontId="0" fillId="0" borderId="7" xfId="0" applyBorder="1"/>
    <xf numFmtId="0" fontId="0" fillId="0" borderId="8" xfId="0" applyBorder="1"/>
    <xf numFmtId="0" fontId="0" fillId="0" borderId="2" xfId="0" applyBorder="1"/>
    <xf numFmtId="0" fontId="0" fillId="0" borderId="0" xfId="0" applyAlignment="1">
      <alignment horizontal="center"/>
    </xf>
    <xf numFmtId="0" fontId="13" fillId="0" borderId="0" xfId="0" applyFont="1"/>
    <xf numFmtId="0" fontId="0" fillId="2" borderId="0" xfId="0" applyFill="1"/>
    <xf numFmtId="0" fontId="10" fillId="0" borderId="0" xfId="0" applyFont="1"/>
    <xf numFmtId="0" fontId="14" fillId="0" borderId="0" xfId="0" applyFont="1"/>
    <xf numFmtId="0" fontId="10" fillId="0" borderId="8" xfId="0" applyFont="1" applyBorder="1"/>
    <xf numFmtId="0" fontId="14" fillId="0" borderId="7" xfId="0" applyFont="1" applyBorder="1"/>
    <xf numFmtId="3" fontId="0" fillId="0" borderId="0" xfId="0" applyNumberFormat="1"/>
    <xf numFmtId="0" fontId="0" fillId="0" borderId="0" xfId="0" applyAlignment="1">
      <alignment horizontal="right"/>
    </xf>
    <xf numFmtId="2" fontId="7" fillId="0" borderId="0" xfId="0" applyNumberFormat="1" applyFont="1"/>
    <xf numFmtId="9" fontId="0" fillId="0" borderId="0" xfId="0" applyNumberFormat="1"/>
    <xf numFmtId="0" fontId="10" fillId="0" borderId="0" xfId="0" applyFont="1" applyBorder="1"/>
    <xf numFmtId="0" fontId="14" fillId="0" borderId="0" xfId="0" applyFont="1" applyBorder="1"/>
    <xf numFmtId="0" fontId="0" fillId="0" borderId="5" xfId="0" applyFill="1" applyBorder="1"/>
    <xf numFmtId="0" fontId="0" fillId="0" borderId="0" xfId="0" applyFill="1" applyBorder="1"/>
    <xf numFmtId="0" fontId="7" fillId="0" borderId="5" xfId="0" applyFont="1" applyFill="1" applyBorder="1"/>
    <xf numFmtId="0" fontId="7" fillId="0" borderId="0" xfId="0" applyFont="1" applyBorder="1"/>
    <xf numFmtId="0" fontId="7" fillId="0" borderId="0" xfId="0" applyFont="1" applyFill="1" applyBorder="1"/>
    <xf numFmtId="194" fontId="15" fillId="0" borderId="0" xfId="2" applyFont="1" applyAlignment="1" applyProtection="1">
      <alignment horizontal="left"/>
    </xf>
    <xf numFmtId="194" fontId="15" fillId="0" borderId="0" xfId="2"/>
    <xf numFmtId="194" fontId="15" fillId="0" borderId="0" xfId="2" applyAlignment="1" applyProtection="1">
      <alignment horizontal="right"/>
    </xf>
    <xf numFmtId="195" fontId="15" fillId="0" borderId="0" xfId="2" applyNumberFormat="1" applyProtection="1"/>
    <xf numFmtId="194" fontId="15" fillId="0" borderId="0" xfId="2" applyNumberFormat="1" applyProtection="1"/>
    <xf numFmtId="194" fontId="15" fillId="0" borderId="0" xfId="2" applyProtection="1"/>
    <xf numFmtId="196" fontId="15" fillId="0" borderId="0" xfId="2" applyNumberFormat="1" applyProtection="1"/>
    <xf numFmtId="197" fontId="15" fillId="0" borderId="0" xfId="2" applyNumberFormat="1" applyProtection="1"/>
    <xf numFmtId="0" fontId="16" fillId="0" borderId="0" xfId="0" applyNumberFormat="1" applyFont="1" applyFill="1" applyBorder="1" applyAlignment="1" applyProtection="1">
      <alignment vertical="top"/>
    </xf>
    <xf numFmtId="0" fontId="19" fillId="0" borderId="0" xfId="0" applyFont="1"/>
    <xf numFmtId="17" fontId="7" fillId="0" borderId="0" xfId="0" applyNumberFormat="1" applyFont="1"/>
    <xf numFmtId="0" fontId="7" fillId="3" borderId="0" xfId="0" applyFont="1" applyFill="1"/>
    <xf numFmtId="0" fontId="0" fillId="3" borderId="0" xfId="0" applyFill="1"/>
    <xf numFmtId="0" fontId="0" fillId="4" borderId="0" xfId="0" applyFill="1"/>
    <xf numFmtId="1" fontId="0" fillId="0" borderId="0" xfId="0" applyNumberFormat="1"/>
    <xf numFmtId="190" fontId="0" fillId="0" borderId="0" xfId="0" applyNumberFormat="1"/>
    <xf numFmtId="0" fontId="7" fillId="2" borderId="0" xfId="0" applyFont="1" applyFill="1"/>
    <xf numFmtId="0" fontId="14" fillId="2" borderId="0" xfId="0" applyFont="1" applyFill="1"/>
    <xf numFmtId="1" fontId="7" fillId="0" borderId="0" xfId="0" applyNumberFormat="1" applyFont="1"/>
    <xf numFmtId="0" fontId="0" fillId="5" borderId="0" xfId="0" applyFill="1"/>
    <xf numFmtId="0" fontId="20" fillId="5" borderId="0" xfId="0" applyFont="1" applyFill="1"/>
    <xf numFmtId="0" fontId="20" fillId="0" borderId="0" xfId="0" applyFont="1"/>
    <xf numFmtId="0" fontId="21" fillId="5" borderId="0" xfId="1" applyNumberFormat="1" applyFont="1" applyFill="1" applyBorder="1" applyAlignment="1" applyProtection="1">
      <alignment vertical="top"/>
    </xf>
    <xf numFmtId="2" fontId="0" fillId="5" borderId="0" xfId="0" applyNumberFormat="1" applyFill="1"/>
    <xf numFmtId="0" fontId="20" fillId="2" borderId="0" xfId="0" applyFont="1" applyFill="1"/>
    <xf numFmtId="0" fontId="1" fillId="0" borderId="0" xfId="0" applyFont="1" applyFill="1"/>
    <xf numFmtId="0" fontId="7" fillId="0" borderId="0" xfId="0" applyFont="1" applyAlignment="1"/>
    <xf numFmtId="0" fontId="0" fillId="0" borderId="0" xfId="0" applyAlignment="1">
      <alignment horizontal="center"/>
    </xf>
  </cellXfs>
  <cellStyles count="3">
    <cellStyle name="Standard" xfId="0" builtinId="0"/>
    <cellStyle name="Standard_birke_neu" xfId="1"/>
    <cellStyle name="Standard_DOUGLAS"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51336898395721"/>
          <c:y val="0.11403557615292692"/>
          <c:w val="0.74598930481283421"/>
          <c:h val="0.58333583185920312"/>
        </c:manualLayout>
      </c:layout>
      <c:scatterChart>
        <c:scatterStyle val="lineMarker"/>
        <c:varyColors val="0"/>
        <c:ser>
          <c:idx val="0"/>
          <c:order val="0"/>
          <c:spPr>
            <a:ln w="28575">
              <a:noFill/>
            </a:ln>
          </c:spPr>
          <c:marker>
            <c:symbol val="square"/>
            <c:size val="5"/>
            <c:spPr>
              <a:noFill/>
              <a:ln>
                <a:solidFill>
                  <a:srgbClr val="000000"/>
                </a:solidFill>
                <a:prstDash val="solid"/>
              </a:ln>
            </c:spPr>
          </c:marker>
          <c:xVal>
            <c:numLit>
              <c:formatCode>General</c:formatCode>
              <c:ptCount val="23"/>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numLit>
          </c:xVal>
          <c:yVal>
            <c:numLit>
              <c:formatCode>General</c:formatCode>
              <c:ptCount val="23"/>
              <c:pt idx="0">
                <c:v>44.54</c:v>
              </c:pt>
              <c:pt idx="1">
                <c:v>48.16</c:v>
              </c:pt>
              <c:pt idx="2">
                <c:v>84.81</c:v>
              </c:pt>
              <c:pt idx="3">
                <c:v>131.1</c:v>
              </c:pt>
              <c:pt idx="4">
                <c:v>172</c:v>
              </c:pt>
              <c:pt idx="5">
                <c:v>214.9</c:v>
              </c:pt>
              <c:pt idx="6">
                <c:v>205.9</c:v>
              </c:pt>
              <c:pt idx="7">
                <c:v>247.1</c:v>
              </c:pt>
              <c:pt idx="8">
                <c:v>129.19999999999999</c:v>
              </c:pt>
              <c:pt idx="9">
                <c:v>129.80000000000001</c:v>
              </c:pt>
              <c:pt idx="10">
                <c:v>26.16</c:v>
              </c:pt>
              <c:pt idx="11">
                <c:v>59.1</c:v>
              </c:pt>
              <c:pt idx="12">
                <c:v>47.7</c:v>
              </c:pt>
              <c:pt idx="13">
                <c:v>8.85</c:v>
              </c:pt>
              <c:pt idx="14">
                <c:v>13.23</c:v>
              </c:pt>
              <c:pt idx="15">
                <c:v>20.03</c:v>
              </c:pt>
              <c:pt idx="16">
                <c:v>12.55</c:v>
              </c:pt>
              <c:pt idx="17">
                <c:v>15.6</c:v>
              </c:pt>
              <c:pt idx="18">
                <c:v>36.96</c:v>
              </c:pt>
              <c:pt idx="19">
                <c:v>31.96</c:v>
              </c:pt>
              <c:pt idx="20">
                <c:v>12.43</c:v>
              </c:pt>
              <c:pt idx="21">
                <c:v>20.61</c:v>
              </c:pt>
              <c:pt idx="22">
                <c:v>22.1</c:v>
              </c:pt>
            </c:numLit>
          </c:yVal>
          <c:smooth val="0"/>
        </c:ser>
        <c:dLbls>
          <c:showLegendKey val="0"/>
          <c:showVal val="0"/>
          <c:showCatName val="0"/>
          <c:showSerName val="0"/>
          <c:showPercent val="0"/>
          <c:showBubbleSize val="0"/>
        </c:dLbls>
        <c:axId val="255025152"/>
        <c:axId val="255025728"/>
      </c:scatterChart>
      <c:valAx>
        <c:axId val="255025152"/>
        <c:scaling>
          <c:orientation val="minMax"/>
        </c:scaling>
        <c:delete val="0"/>
        <c:axPos val="b"/>
        <c:title>
          <c:tx>
            <c:rich>
              <a:bodyPr/>
              <a:lstStyle/>
              <a:p>
                <a:pPr>
                  <a:defRPr sz="1000" b="0" i="0" u="none" strike="noStrike" baseline="0">
                    <a:solidFill>
                      <a:srgbClr val="000000"/>
                    </a:solidFill>
                    <a:latin typeface="Arial"/>
                    <a:ea typeface="Arial"/>
                    <a:cs typeface="Arial"/>
                  </a:defRPr>
                </a:pPr>
                <a:r>
                  <a:t>tree needle biomass (kg)</a:t>
                </a:r>
              </a:p>
            </c:rich>
          </c:tx>
          <c:layout>
            <c:manualLayout>
              <c:xMode val="edge"/>
              <c:yMode val="edge"/>
              <c:x val="0.36898395721925131"/>
              <c:y val="0.83333690265600435"/>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25728"/>
        <c:crosses val="autoZero"/>
        <c:crossBetween val="midCat"/>
      </c:valAx>
      <c:valAx>
        <c:axId val="255025728"/>
        <c:scaling>
          <c:orientation val="minMax"/>
        </c:scaling>
        <c:delete val="0"/>
        <c:axPos val="l"/>
        <c:title>
          <c:tx>
            <c:rich>
              <a:bodyPr/>
              <a:lstStyle/>
              <a:p>
                <a:pPr>
                  <a:defRPr sz="1000" b="0" i="0" u="none" strike="noStrike" baseline="0">
                    <a:solidFill>
                      <a:srgbClr val="000000"/>
                    </a:solidFill>
                    <a:latin typeface="Arial"/>
                    <a:ea typeface="Arial"/>
                    <a:cs typeface="Arial"/>
                  </a:defRPr>
                </a:pPr>
                <a:r>
                  <a:t>tree needle area (m2)</a:t>
                </a:r>
              </a:p>
            </c:rich>
          </c:tx>
          <c:layout>
            <c:manualLayout>
              <c:xMode val="edge"/>
              <c:yMode val="edge"/>
              <c:x val="4.2780748663101602E-2"/>
              <c:y val="0.1271935272474954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25152"/>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880849577725305E-2"/>
          <c:y val="6.9518716577540107E-2"/>
          <c:w val="0.78642447681511018"/>
          <c:h val="0.81016042780748665"/>
        </c:manualLayout>
      </c:layout>
      <c:scatterChart>
        <c:scatterStyle val="lineMarker"/>
        <c:varyColors val="0"/>
        <c:ser>
          <c:idx val="0"/>
          <c:order val="0"/>
          <c:tx>
            <c:v>daten</c:v>
          </c:tx>
          <c:spPr>
            <a:ln w="28575">
              <a:noFill/>
            </a:ln>
          </c:spPr>
          <c:marker>
            <c:symbol val="diamond"/>
            <c:size val="5"/>
            <c:spPr>
              <a:solidFill>
                <a:srgbClr val="000080"/>
              </a:solidFill>
              <a:ln>
                <a:solidFill>
                  <a:srgbClr val="000080"/>
                </a:solidFill>
                <a:prstDash val="solid"/>
              </a:ln>
            </c:spPr>
          </c:marker>
          <c:xVal>
            <c:numRef>
              <c:f>pha!$U$80:$U$105</c:f>
              <c:numCache>
                <c:formatCode>General</c:formatCode>
                <c:ptCount val="26"/>
                <c:pt idx="0">
                  <c:v>0.5</c:v>
                </c:pt>
                <c:pt idx="1">
                  <c:v>2.2000000000000002</c:v>
                </c:pt>
                <c:pt idx="2">
                  <c:v>2.9</c:v>
                </c:pt>
                <c:pt idx="3">
                  <c:v>3.5</c:v>
                </c:pt>
                <c:pt idx="4">
                  <c:v>1.4</c:v>
                </c:pt>
                <c:pt idx="5">
                  <c:v>2.1</c:v>
                </c:pt>
                <c:pt idx="6">
                  <c:v>4.7</c:v>
                </c:pt>
                <c:pt idx="7">
                  <c:v>9.9</c:v>
                </c:pt>
                <c:pt idx="8">
                  <c:v>3.6</c:v>
                </c:pt>
                <c:pt idx="9">
                  <c:v>6.7</c:v>
                </c:pt>
                <c:pt idx="10">
                  <c:v>8.1999999999999993</c:v>
                </c:pt>
                <c:pt idx="11">
                  <c:v>7.6</c:v>
                </c:pt>
                <c:pt idx="12">
                  <c:v>8.6</c:v>
                </c:pt>
                <c:pt idx="13">
                  <c:v>12.9</c:v>
                </c:pt>
                <c:pt idx="14">
                  <c:v>47.9</c:v>
                </c:pt>
                <c:pt idx="15">
                  <c:v>4.5</c:v>
                </c:pt>
                <c:pt idx="16">
                  <c:v>10.8</c:v>
                </c:pt>
                <c:pt idx="17">
                  <c:v>13.8</c:v>
                </c:pt>
                <c:pt idx="18">
                  <c:v>31.2</c:v>
                </c:pt>
                <c:pt idx="19">
                  <c:v>5.5</c:v>
                </c:pt>
                <c:pt idx="20">
                  <c:v>6.8</c:v>
                </c:pt>
                <c:pt idx="21" formatCode="0.00">
                  <c:v>15.045045045045045</c:v>
                </c:pt>
                <c:pt idx="22" formatCode="0.00">
                  <c:v>35.483870967741936</c:v>
                </c:pt>
                <c:pt idx="23" formatCode="0.00">
                  <c:v>3.2</c:v>
                </c:pt>
                <c:pt idx="24" formatCode="0.00">
                  <c:v>9.3333333333333339</c:v>
                </c:pt>
                <c:pt idx="25" formatCode="0.00">
                  <c:v>6.1</c:v>
                </c:pt>
              </c:numCache>
            </c:numRef>
          </c:xVal>
          <c:yVal>
            <c:numRef>
              <c:f>pha!$R$80:$R$105</c:f>
              <c:numCache>
                <c:formatCode>General</c:formatCode>
                <c:ptCount val="26"/>
                <c:pt idx="0">
                  <c:v>9.4</c:v>
                </c:pt>
                <c:pt idx="1">
                  <c:v>11.8</c:v>
                </c:pt>
                <c:pt idx="2">
                  <c:v>13.2</c:v>
                </c:pt>
                <c:pt idx="3">
                  <c:v>14.8</c:v>
                </c:pt>
                <c:pt idx="4">
                  <c:v>11.8</c:v>
                </c:pt>
                <c:pt idx="5">
                  <c:v>14.4</c:v>
                </c:pt>
                <c:pt idx="6">
                  <c:v>15.4</c:v>
                </c:pt>
                <c:pt idx="7">
                  <c:v>19</c:v>
                </c:pt>
                <c:pt idx="8">
                  <c:v>22.2</c:v>
                </c:pt>
                <c:pt idx="9">
                  <c:v>22.2</c:v>
                </c:pt>
                <c:pt idx="10">
                  <c:v>24.4</c:v>
                </c:pt>
                <c:pt idx="11">
                  <c:v>25</c:v>
                </c:pt>
                <c:pt idx="12">
                  <c:v>25.8</c:v>
                </c:pt>
                <c:pt idx="13">
                  <c:v>28.2</c:v>
                </c:pt>
                <c:pt idx="14">
                  <c:v>30</c:v>
                </c:pt>
                <c:pt idx="15">
                  <c:v>22.6</c:v>
                </c:pt>
                <c:pt idx="16">
                  <c:v>24</c:v>
                </c:pt>
                <c:pt idx="17">
                  <c:v>27</c:v>
                </c:pt>
                <c:pt idx="18">
                  <c:v>28.4</c:v>
                </c:pt>
                <c:pt idx="19">
                  <c:v>21.6</c:v>
                </c:pt>
                <c:pt idx="20">
                  <c:v>23</c:v>
                </c:pt>
                <c:pt idx="22">
                  <c:v>36.5</c:v>
                </c:pt>
                <c:pt idx="23">
                  <c:v>6</c:v>
                </c:pt>
                <c:pt idx="24">
                  <c:v>18.8</c:v>
                </c:pt>
                <c:pt idx="25">
                  <c:v>15.3</c:v>
                </c:pt>
              </c:numCache>
            </c:numRef>
          </c:yVal>
          <c:smooth val="0"/>
        </c:ser>
        <c:ser>
          <c:idx val="1"/>
          <c:order val="1"/>
          <c:spPr>
            <a:ln w="28575">
              <a:noFill/>
            </a:ln>
          </c:spPr>
          <c:marker>
            <c:symbol val="square"/>
            <c:size val="5"/>
            <c:spPr>
              <a:solidFill>
                <a:srgbClr val="FF00FF"/>
              </a:solidFill>
              <a:ln>
                <a:solidFill>
                  <a:srgbClr val="FF00FF"/>
                </a:solidFill>
                <a:prstDash val="solid"/>
              </a:ln>
            </c:spPr>
          </c:marker>
          <c:xVal>
            <c:numRef>
              <c:f>pha!$AC$9:$AC$55</c:f>
              <c:numCache>
                <c:formatCode>General</c:formatCode>
                <c:ptCount val="47"/>
                <c:pt idx="0">
                  <c:v>0.5</c:v>
                </c:pt>
                <c:pt idx="1">
                  <c:v>1</c:v>
                </c:pt>
                <c:pt idx="2">
                  <c:v>1.5</c:v>
                </c:pt>
                <c:pt idx="3">
                  <c:v>2</c:v>
                </c:pt>
                <c:pt idx="4">
                  <c:v>2.5</c:v>
                </c:pt>
                <c:pt idx="5">
                  <c:v>3</c:v>
                </c:pt>
                <c:pt idx="6">
                  <c:v>3.5</c:v>
                </c:pt>
                <c:pt idx="7">
                  <c:v>4</c:v>
                </c:pt>
                <c:pt idx="8">
                  <c:v>4.5</c:v>
                </c:pt>
                <c:pt idx="9">
                  <c:v>5</c:v>
                </c:pt>
                <c:pt idx="10">
                  <c:v>6</c:v>
                </c:pt>
                <c:pt idx="11">
                  <c:v>7</c:v>
                </c:pt>
                <c:pt idx="12">
                  <c:v>8</c:v>
                </c:pt>
                <c:pt idx="13">
                  <c:v>9</c:v>
                </c:pt>
                <c:pt idx="14">
                  <c:v>10</c:v>
                </c:pt>
                <c:pt idx="15">
                  <c:v>11</c:v>
                </c:pt>
                <c:pt idx="16">
                  <c:v>12</c:v>
                </c:pt>
                <c:pt idx="17">
                  <c:v>13</c:v>
                </c:pt>
                <c:pt idx="18">
                  <c:v>14</c:v>
                </c:pt>
                <c:pt idx="19">
                  <c:v>15</c:v>
                </c:pt>
                <c:pt idx="20">
                  <c:v>16</c:v>
                </c:pt>
                <c:pt idx="21">
                  <c:v>17</c:v>
                </c:pt>
                <c:pt idx="22">
                  <c:v>18</c:v>
                </c:pt>
                <c:pt idx="23">
                  <c:v>19</c:v>
                </c:pt>
                <c:pt idx="24">
                  <c:v>20</c:v>
                </c:pt>
                <c:pt idx="25">
                  <c:v>21</c:v>
                </c:pt>
                <c:pt idx="26">
                  <c:v>22</c:v>
                </c:pt>
                <c:pt idx="27">
                  <c:v>23</c:v>
                </c:pt>
                <c:pt idx="28">
                  <c:v>24</c:v>
                </c:pt>
                <c:pt idx="29">
                  <c:v>25</c:v>
                </c:pt>
                <c:pt idx="30">
                  <c:v>26</c:v>
                </c:pt>
                <c:pt idx="31">
                  <c:v>27</c:v>
                </c:pt>
                <c:pt idx="32">
                  <c:v>28</c:v>
                </c:pt>
                <c:pt idx="33">
                  <c:v>29</c:v>
                </c:pt>
                <c:pt idx="34">
                  <c:v>30</c:v>
                </c:pt>
                <c:pt idx="35">
                  <c:v>31</c:v>
                </c:pt>
                <c:pt idx="36">
                  <c:v>32</c:v>
                </c:pt>
                <c:pt idx="37">
                  <c:v>33</c:v>
                </c:pt>
                <c:pt idx="38">
                  <c:v>34</c:v>
                </c:pt>
                <c:pt idx="39">
                  <c:v>35</c:v>
                </c:pt>
                <c:pt idx="40">
                  <c:v>36</c:v>
                </c:pt>
                <c:pt idx="41">
                  <c:v>37</c:v>
                </c:pt>
                <c:pt idx="42">
                  <c:v>38</c:v>
                </c:pt>
                <c:pt idx="43">
                  <c:v>39</c:v>
                </c:pt>
                <c:pt idx="44">
                  <c:v>40</c:v>
                </c:pt>
                <c:pt idx="45">
                  <c:v>41</c:v>
                </c:pt>
                <c:pt idx="46">
                  <c:v>42</c:v>
                </c:pt>
              </c:numCache>
            </c:numRef>
          </c:xVal>
          <c:yVal>
            <c:numRef>
              <c:f>pha!$AE$9:$AE$55</c:f>
              <c:numCache>
                <c:formatCode>General</c:formatCode>
                <c:ptCount val="47"/>
                <c:pt idx="0">
                  <c:v>5.9544573221237789</c:v>
                </c:pt>
                <c:pt idx="1">
                  <c:v>7.6142131979695433</c:v>
                </c:pt>
                <c:pt idx="2">
                  <c:v>8.7956221762958933</c:v>
                </c:pt>
                <c:pt idx="3">
                  <c:v>9.7455236152842364</c:v>
                </c:pt>
                <c:pt idx="4">
                  <c:v>10.553872338602455</c:v>
                </c:pt>
                <c:pt idx="5">
                  <c:v>11.264961942520472</c:v>
                </c:pt>
                <c:pt idx="6">
                  <c:v>11.904299697912197</c:v>
                </c:pt>
                <c:pt idx="7">
                  <c:v>12.488090385591841</c:v>
                </c:pt>
                <c:pt idx="8">
                  <c:v>13.027352338535929</c:v>
                </c:pt>
                <c:pt idx="9">
                  <c:v>13.529961084544464</c:v>
                </c:pt>
                <c:pt idx="10">
                  <c:v>14.447245163245116</c:v>
                </c:pt>
                <c:pt idx="11">
                  <c:v>15.27258712642632</c:v>
                </c:pt>
                <c:pt idx="12">
                  <c:v>16.026731238471328</c:v>
                </c:pt>
                <c:pt idx="13">
                  <c:v>16.723785575527415</c:v>
                </c:pt>
                <c:pt idx="14">
                  <c:v>17.373836153071093</c:v>
                </c:pt>
                <c:pt idx="15">
                  <c:v>17.984375371677903</c:v>
                </c:pt>
                <c:pt idx="16">
                  <c:v>18.561140759355432</c:v>
                </c:pt>
                <c:pt idx="17">
                  <c:v>19.108635939504474</c:v>
                </c:pt>
                <c:pt idx="18">
                  <c:v>19.630469201881777</c:v>
                </c:pt>
                <c:pt idx="19">
                  <c:v>20.12958189073894</c:v>
                </c:pt>
                <c:pt idx="20">
                  <c:v>20.608407357700912</c:v>
                </c:pt>
                <c:pt idx="21">
                  <c:v>21.068984570936607</c:v>
                </c:pt>
                <c:pt idx="22">
                  <c:v>21.513041198182485</c:v>
                </c:pt>
                <c:pt idx="23">
                  <c:v>21.942055590988282</c:v>
                </c:pt>
                <c:pt idx="24">
                  <c:v>22.357303846887625</c:v>
                </c:pt>
                <c:pt idx="25">
                  <c:v>22.759896101855233</c:v>
                </c:pt>
                <c:pt idx="26">
                  <c:v>23.15080490870842</c:v>
                </c:pt>
                <c:pt idx="27">
                  <c:v>23.530887705496053</c:v>
                </c:pt>
                <c:pt idx="28">
                  <c:v>23.900904806015891</c:v>
                </c:pt>
                <c:pt idx="29">
                  <c:v>24.261533952780102</c:v>
                </c:pt>
                <c:pt idx="30">
                  <c:v>24.613382199410154</c:v>
                </c:pt>
                <c:pt idx="31">
                  <c:v>24.956995695605443</c:v>
                </c:pt>
                <c:pt idx="32">
                  <c:v>25.292867808300478</c:v>
                </c:pt>
                <c:pt idx="33">
                  <c:v>25.621445910802318</c:v>
                </c:pt>
                <c:pt idx="34">
                  <c:v>25.943137096452439</c:v>
                </c:pt>
                <c:pt idx="35">
                  <c:v>26.258313017099244</c:v>
                </c:pt>
                <c:pt idx="36">
                  <c:v>26.567314004152117</c:v>
                </c:pt>
                <c:pt idx="37">
                  <c:v>26.870452597536151</c:v>
                </c:pt>
                <c:pt idx="38">
                  <c:v>27.168016582865576</c:v>
                </c:pt>
                <c:pt idx="39">
                  <c:v>27.460271617724207</c:v>
                </c:pt>
                <c:pt idx="40">
                  <c:v>27.747463512720099</c:v>
                </c:pt>
                <c:pt idx="41">
                  <c:v>28.029820220964584</c:v>
                </c:pt>
                <c:pt idx="42">
                  <c:v>28.307553580072419</c:v>
                </c:pt>
                <c:pt idx="43">
                  <c:v>28.580860843132157</c:v>
                </c:pt>
                <c:pt idx="44">
                  <c:v>28.849926028935833</c:v>
                </c:pt>
                <c:pt idx="45">
                  <c:v>29.114921116765306</c:v>
                </c:pt>
                <c:pt idx="46">
                  <c:v>29.376007106964462</c:v>
                </c:pt>
              </c:numCache>
            </c:numRef>
          </c:yVal>
          <c:smooth val="0"/>
        </c:ser>
        <c:dLbls>
          <c:showLegendKey val="0"/>
          <c:showVal val="0"/>
          <c:showCatName val="0"/>
          <c:showSerName val="0"/>
          <c:showPercent val="0"/>
          <c:showBubbleSize val="0"/>
        </c:dLbls>
        <c:axId val="256977728"/>
        <c:axId val="256978304"/>
      </c:scatterChart>
      <c:valAx>
        <c:axId val="256977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978304"/>
        <c:crosses val="autoZero"/>
        <c:crossBetween val="midCat"/>
      </c:valAx>
      <c:valAx>
        <c:axId val="2569783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977728"/>
        <c:crosses val="autoZero"/>
        <c:crossBetween val="midCat"/>
      </c:valAx>
      <c:spPr>
        <a:solidFill>
          <a:srgbClr val="C0C0C0"/>
        </a:solidFill>
        <a:ln w="12700">
          <a:solidFill>
            <a:srgbClr val="808080"/>
          </a:solidFill>
          <a:prstDash val="solid"/>
        </a:ln>
      </c:spPr>
    </c:plotArea>
    <c:legend>
      <c:legendPos val="r"/>
      <c:layout>
        <c:manualLayout>
          <c:xMode val="edge"/>
          <c:yMode val="edge"/>
          <c:x val="0.88741793594294538"/>
          <c:y val="0.41711229946524064"/>
          <c:w val="9.933782865032971E-2"/>
          <c:h val="0.11497326203208556"/>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745763946137769E-2"/>
          <c:y val="8.4175360951181583E-2"/>
          <c:w val="0.78011545108173541"/>
          <c:h val="0.77778033518891776"/>
        </c:manualLayout>
      </c:layout>
      <c:scatterChart>
        <c:scatterStyle val="lineMarker"/>
        <c:varyColors val="0"/>
        <c:ser>
          <c:idx val="0"/>
          <c:order val="0"/>
          <c:tx>
            <c:v>daten</c:v>
          </c:tx>
          <c:spPr>
            <a:ln w="28575">
              <a:noFill/>
            </a:ln>
          </c:spPr>
          <c:marker>
            <c:symbol val="diamond"/>
            <c:size val="5"/>
            <c:spPr>
              <a:solidFill>
                <a:srgbClr val="000080"/>
              </a:solidFill>
              <a:ln>
                <a:solidFill>
                  <a:srgbClr val="000080"/>
                </a:solidFill>
                <a:prstDash val="solid"/>
              </a:ln>
            </c:spPr>
          </c:marker>
          <c:xVal>
            <c:numRef>
              <c:f>pha!$AD$83:$AD$93</c:f>
              <c:numCache>
                <c:formatCode>General</c:formatCode>
                <c:ptCount val="11"/>
                <c:pt idx="0">
                  <c:v>0.5</c:v>
                </c:pt>
                <c:pt idx="1">
                  <c:v>2.2000000000000002</c:v>
                </c:pt>
                <c:pt idx="2">
                  <c:v>2.9</c:v>
                </c:pt>
                <c:pt idx="3">
                  <c:v>3.5</c:v>
                </c:pt>
                <c:pt idx="4">
                  <c:v>1.4</c:v>
                </c:pt>
                <c:pt idx="5">
                  <c:v>4.7</c:v>
                </c:pt>
                <c:pt idx="6">
                  <c:v>9.9</c:v>
                </c:pt>
                <c:pt idx="7">
                  <c:v>47.9</c:v>
                </c:pt>
                <c:pt idx="8">
                  <c:v>31.2</c:v>
                </c:pt>
                <c:pt idx="9" formatCode="0.00">
                  <c:v>9.3333333333333339</c:v>
                </c:pt>
                <c:pt idx="10" formatCode="0.00">
                  <c:v>6.1</c:v>
                </c:pt>
              </c:numCache>
            </c:numRef>
          </c:xVal>
          <c:yVal>
            <c:numRef>
              <c:f>pha!$AA$83:$AA$93</c:f>
              <c:numCache>
                <c:formatCode>General</c:formatCode>
                <c:ptCount val="11"/>
                <c:pt idx="0">
                  <c:v>9.4</c:v>
                </c:pt>
                <c:pt idx="1">
                  <c:v>11.8</c:v>
                </c:pt>
                <c:pt idx="2">
                  <c:v>13.2</c:v>
                </c:pt>
                <c:pt idx="3">
                  <c:v>14.8</c:v>
                </c:pt>
                <c:pt idx="4">
                  <c:v>11.8</c:v>
                </c:pt>
                <c:pt idx="5">
                  <c:v>15.4</c:v>
                </c:pt>
                <c:pt idx="6">
                  <c:v>19</c:v>
                </c:pt>
                <c:pt idx="7">
                  <c:v>30</c:v>
                </c:pt>
                <c:pt idx="8">
                  <c:v>28.4</c:v>
                </c:pt>
                <c:pt idx="9">
                  <c:v>18.8</c:v>
                </c:pt>
                <c:pt idx="10">
                  <c:v>15.3</c:v>
                </c:pt>
              </c:numCache>
            </c:numRef>
          </c:yVal>
          <c:smooth val="0"/>
        </c:ser>
        <c:ser>
          <c:idx val="1"/>
          <c:order val="1"/>
          <c:spPr>
            <a:ln w="28575">
              <a:noFill/>
            </a:ln>
          </c:spPr>
          <c:marker>
            <c:symbol val="square"/>
            <c:size val="5"/>
            <c:spPr>
              <a:solidFill>
                <a:srgbClr val="FF00FF"/>
              </a:solidFill>
              <a:ln>
                <a:solidFill>
                  <a:srgbClr val="FF00FF"/>
                </a:solidFill>
                <a:prstDash val="solid"/>
              </a:ln>
            </c:spPr>
          </c:marker>
          <c:xVal>
            <c:numRef>
              <c:f>pha!$AC$5:$AC$55</c:f>
              <c:numCache>
                <c:formatCode>General</c:formatCode>
                <c:ptCount val="51"/>
                <c:pt idx="0">
                  <c:v>0.1</c:v>
                </c:pt>
                <c:pt idx="1">
                  <c:v>0.2</c:v>
                </c:pt>
                <c:pt idx="2">
                  <c:v>0.30000000000000004</c:v>
                </c:pt>
                <c:pt idx="3">
                  <c:v>0.4</c:v>
                </c:pt>
                <c:pt idx="4">
                  <c:v>0.5</c:v>
                </c:pt>
                <c:pt idx="5">
                  <c:v>1</c:v>
                </c:pt>
                <c:pt idx="6">
                  <c:v>1.5</c:v>
                </c:pt>
                <c:pt idx="7">
                  <c:v>2</c:v>
                </c:pt>
                <c:pt idx="8">
                  <c:v>2.5</c:v>
                </c:pt>
                <c:pt idx="9">
                  <c:v>3</c:v>
                </c:pt>
                <c:pt idx="10">
                  <c:v>3.5</c:v>
                </c:pt>
                <c:pt idx="11">
                  <c:v>4</c:v>
                </c:pt>
                <c:pt idx="12">
                  <c:v>4.5</c:v>
                </c:pt>
                <c:pt idx="13">
                  <c:v>5</c:v>
                </c:pt>
                <c:pt idx="14">
                  <c:v>6</c:v>
                </c:pt>
                <c:pt idx="15">
                  <c:v>7</c:v>
                </c:pt>
                <c:pt idx="16">
                  <c:v>8</c:v>
                </c:pt>
                <c:pt idx="17">
                  <c:v>9</c:v>
                </c:pt>
                <c:pt idx="18">
                  <c:v>10</c:v>
                </c:pt>
                <c:pt idx="19">
                  <c:v>11</c:v>
                </c:pt>
                <c:pt idx="20">
                  <c:v>12</c:v>
                </c:pt>
                <c:pt idx="21">
                  <c:v>13</c:v>
                </c:pt>
                <c:pt idx="22">
                  <c:v>14</c:v>
                </c:pt>
                <c:pt idx="23">
                  <c:v>15</c:v>
                </c:pt>
                <c:pt idx="24">
                  <c:v>16</c:v>
                </c:pt>
                <c:pt idx="25">
                  <c:v>17</c:v>
                </c:pt>
                <c:pt idx="26">
                  <c:v>18</c:v>
                </c:pt>
                <c:pt idx="27">
                  <c:v>19</c:v>
                </c:pt>
                <c:pt idx="28">
                  <c:v>20</c:v>
                </c:pt>
                <c:pt idx="29">
                  <c:v>21</c:v>
                </c:pt>
                <c:pt idx="30">
                  <c:v>22</c:v>
                </c:pt>
                <c:pt idx="31">
                  <c:v>23</c:v>
                </c:pt>
                <c:pt idx="32">
                  <c:v>24</c:v>
                </c:pt>
                <c:pt idx="33">
                  <c:v>25</c:v>
                </c:pt>
                <c:pt idx="34">
                  <c:v>26</c:v>
                </c:pt>
                <c:pt idx="35">
                  <c:v>27</c:v>
                </c:pt>
                <c:pt idx="36">
                  <c:v>28</c:v>
                </c:pt>
                <c:pt idx="37">
                  <c:v>29</c:v>
                </c:pt>
                <c:pt idx="38">
                  <c:v>30</c:v>
                </c:pt>
                <c:pt idx="39">
                  <c:v>31</c:v>
                </c:pt>
                <c:pt idx="40">
                  <c:v>32</c:v>
                </c:pt>
                <c:pt idx="41">
                  <c:v>33</c:v>
                </c:pt>
                <c:pt idx="42">
                  <c:v>34</c:v>
                </c:pt>
                <c:pt idx="43">
                  <c:v>35</c:v>
                </c:pt>
                <c:pt idx="44">
                  <c:v>36</c:v>
                </c:pt>
                <c:pt idx="45">
                  <c:v>37</c:v>
                </c:pt>
                <c:pt idx="46">
                  <c:v>38</c:v>
                </c:pt>
                <c:pt idx="47">
                  <c:v>39</c:v>
                </c:pt>
                <c:pt idx="48">
                  <c:v>40</c:v>
                </c:pt>
                <c:pt idx="49">
                  <c:v>41</c:v>
                </c:pt>
                <c:pt idx="50">
                  <c:v>42</c:v>
                </c:pt>
              </c:numCache>
            </c:numRef>
          </c:xVal>
          <c:yVal>
            <c:numRef>
              <c:f>pha!$AE$5:$AE$55</c:f>
              <c:numCache>
                <c:formatCode>General</c:formatCode>
                <c:ptCount val="51"/>
                <c:pt idx="0">
                  <c:v>3.3727250552776584</c:v>
                </c:pt>
                <c:pt idx="1">
                  <c:v>4.3067187561615361</c:v>
                </c:pt>
                <c:pt idx="2">
                  <c:v>4.9699177932633098</c:v>
                </c:pt>
                <c:pt idx="3">
                  <c:v>5.502186339475907</c:v>
                </c:pt>
                <c:pt idx="4">
                  <c:v>5.9544573221237789</c:v>
                </c:pt>
                <c:pt idx="5">
                  <c:v>7.6142131979695433</c:v>
                </c:pt>
                <c:pt idx="6">
                  <c:v>8.7956221762958933</c:v>
                </c:pt>
                <c:pt idx="7">
                  <c:v>9.7455236152842364</c:v>
                </c:pt>
                <c:pt idx="8">
                  <c:v>10.553872338602455</c:v>
                </c:pt>
                <c:pt idx="9">
                  <c:v>11.264961942520472</c:v>
                </c:pt>
                <c:pt idx="10">
                  <c:v>11.904299697912197</c:v>
                </c:pt>
                <c:pt idx="11">
                  <c:v>12.488090385591841</c:v>
                </c:pt>
                <c:pt idx="12">
                  <c:v>13.027352338535929</c:v>
                </c:pt>
                <c:pt idx="13">
                  <c:v>13.529961084544464</c:v>
                </c:pt>
                <c:pt idx="14">
                  <c:v>14.447245163245116</c:v>
                </c:pt>
                <c:pt idx="15">
                  <c:v>15.27258712642632</c:v>
                </c:pt>
                <c:pt idx="16">
                  <c:v>16.026731238471328</c:v>
                </c:pt>
                <c:pt idx="17">
                  <c:v>16.723785575527415</c:v>
                </c:pt>
                <c:pt idx="18">
                  <c:v>17.373836153071093</c:v>
                </c:pt>
                <c:pt idx="19">
                  <c:v>17.984375371677903</c:v>
                </c:pt>
                <c:pt idx="20">
                  <c:v>18.561140759355432</c:v>
                </c:pt>
                <c:pt idx="21">
                  <c:v>19.108635939504474</c:v>
                </c:pt>
                <c:pt idx="22">
                  <c:v>19.630469201881777</c:v>
                </c:pt>
                <c:pt idx="23">
                  <c:v>20.12958189073894</c:v>
                </c:pt>
                <c:pt idx="24">
                  <c:v>20.608407357700912</c:v>
                </c:pt>
                <c:pt idx="25">
                  <c:v>21.068984570936607</c:v>
                </c:pt>
                <c:pt idx="26">
                  <c:v>21.513041198182485</c:v>
                </c:pt>
                <c:pt idx="27">
                  <c:v>21.942055590988282</c:v>
                </c:pt>
                <c:pt idx="28">
                  <c:v>22.357303846887625</c:v>
                </c:pt>
                <c:pt idx="29">
                  <c:v>22.759896101855233</c:v>
                </c:pt>
                <c:pt idx="30">
                  <c:v>23.15080490870842</c:v>
                </c:pt>
                <c:pt idx="31">
                  <c:v>23.530887705496053</c:v>
                </c:pt>
                <c:pt idx="32">
                  <c:v>23.900904806015891</c:v>
                </c:pt>
                <c:pt idx="33">
                  <c:v>24.261533952780102</c:v>
                </c:pt>
                <c:pt idx="34">
                  <c:v>24.613382199410154</c:v>
                </c:pt>
                <c:pt idx="35">
                  <c:v>24.956995695605443</c:v>
                </c:pt>
                <c:pt idx="36">
                  <c:v>25.292867808300478</c:v>
                </c:pt>
                <c:pt idx="37">
                  <c:v>25.621445910802318</c:v>
                </c:pt>
                <c:pt idx="38">
                  <c:v>25.943137096452439</c:v>
                </c:pt>
                <c:pt idx="39">
                  <c:v>26.258313017099244</c:v>
                </c:pt>
                <c:pt idx="40">
                  <c:v>26.567314004152117</c:v>
                </c:pt>
                <c:pt idx="41">
                  <c:v>26.870452597536151</c:v>
                </c:pt>
                <c:pt idx="42">
                  <c:v>27.168016582865576</c:v>
                </c:pt>
                <c:pt idx="43">
                  <c:v>27.460271617724207</c:v>
                </c:pt>
                <c:pt idx="44">
                  <c:v>27.747463512720099</c:v>
                </c:pt>
                <c:pt idx="45">
                  <c:v>28.029820220964584</c:v>
                </c:pt>
                <c:pt idx="46">
                  <c:v>28.307553580072419</c:v>
                </c:pt>
                <c:pt idx="47">
                  <c:v>28.580860843132157</c:v>
                </c:pt>
                <c:pt idx="48">
                  <c:v>28.849926028935833</c:v>
                </c:pt>
                <c:pt idx="49">
                  <c:v>29.114921116765306</c:v>
                </c:pt>
                <c:pt idx="50">
                  <c:v>29.376007106964462</c:v>
                </c:pt>
              </c:numCache>
            </c:numRef>
          </c:yVal>
          <c:smooth val="0"/>
        </c:ser>
        <c:dLbls>
          <c:showLegendKey val="0"/>
          <c:showVal val="0"/>
          <c:showCatName val="0"/>
          <c:showSerName val="0"/>
          <c:showPercent val="0"/>
          <c:showBubbleSize val="0"/>
        </c:dLbls>
        <c:axId val="256980032"/>
        <c:axId val="256980608"/>
      </c:scatterChart>
      <c:valAx>
        <c:axId val="256980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6980608"/>
        <c:crosses val="autoZero"/>
        <c:crossBetween val="midCat"/>
      </c:valAx>
      <c:valAx>
        <c:axId val="25698060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56980032"/>
        <c:crosses val="autoZero"/>
        <c:crossBetween val="midCat"/>
      </c:valAx>
      <c:spPr>
        <a:solidFill>
          <a:srgbClr val="C0C0C0"/>
        </a:solidFill>
        <a:ln w="12700">
          <a:solidFill>
            <a:srgbClr val="808080"/>
          </a:solidFill>
          <a:prstDash val="solid"/>
        </a:ln>
      </c:spPr>
    </c:plotArea>
    <c:legend>
      <c:legendPos val="r"/>
      <c:layout>
        <c:manualLayout>
          <c:xMode val="edge"/>
          <c:yMode val="edge"/>
          <c:x val="0.88719012083805204"/>
          <c:y val="0.40740874700371882"/>
          <c:w val="9.7514431385216926E-2"/>
          <c:h val="0.1313135630838432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75" b="1" i="0" u="none" strike="noStrike" baseline="0">
                <a:solidFill>
                  <a:srgbClr val="000000"/>
                </a:solidFill>
                <a:latin typeface="Arial"/>
                <a:ea typeface="Arial"/>
                <a:cs typeface="Arial"/>
              </a:defRPr>
            </a:pPr>
            <a:r>
              <a:t>KrR-BHD-Beziehung DG</a:t>
            </a:r>
          </a:p>
        </c:rich>
      </c:tx>
      <c:layout>
        <c:manualLayout>
          <c:xMode val="edge"/>
          <c:yMode val="edge"/>
          <c:x val="0.30721003134796238"/>
          <c:y val="3.2085561497326207E-2"/>
        </c:manualLayout>
      </c:layout>
      <c:overlay val="0"/>
      <c:spPr>
        <a:noFill/>
        <a:ln w="25400">
          <a:noFill/>
        </a:ln>
      </c:spPr>
    </c:title>
    <c:autoTitleDeleted val="0"/>
    <c:plotArea>
      <c:layout>
        <c:manualLayout>
          <c:layoutTarget val="inner"/>
          <c:xMode val="edge"/>
          <c:yMode val="edge"/>
          <c:x val="0.109717868338558"/>
          <c:y val="0.21390374331550802"/>
          <c:w val="0.84952978056426331"/>
          <c:h val="0.48930481283422461"/>
        </c:manualLayout>
      </c:layout>
      <c:scatterChart>
        <c:scatterStyle val="lineMarker"/>
        <c:varyColors val="0"/>
        <c:ser>
          <c:idx val="0"/>
          <c:order val="0"/>
          <c:tx>
            <c:v>alle</c:v>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inear"/>
            <c:dispRSqr val="1"/>
            <c:dispEq val="1"/>
            <c:trendlineLbl>
              <c:layout>
                <c:manualLayout>
                  <c:xMode val="edge"/>
                  <c:yMode val="edge"/>
                  <c:x val="0.75548589341692785"/>
                  <c:y val="6.9518716577540107E-2"/>
                </c:manualLayout>
              </c:layout>
              <c:numFmt formatCode="General" sourceLinked="0"/>
              <c:spPr>
                <a:noFill/>
                <a:ln w="25400">
                  <a:noFill/>
                </a:ln>
              </c:spPr>
              <c:txPr>
                <a:bodyPr/>
                <a:lstStyle/>
                <a:p>
                  <a:pPr algn="ctr" rtl="1">
                    <a:defRPr sz="1200" b="0" i="0" u="none" strike="noStrike" baseline="0">
                      <a:solidFill>
                        <a:srgbClr val="000000"/>
                      </a:solidFill>
                      <a:latin typeface="Arial"/>
                      <a:ea typeface="Arial"/>
                      <a:cs typeface="Arial"/>
                    </a:defRPr>
                  </a:pPr>
                  <a:endParaRPr lang="de-DE"/>
                </a:p>
              </c:txPr>
            </c:trendlineLbl>
          </c:trendline>
          <c:xVal>
            <c:numLit>
              <c:formatCode>General</c:formatCode>
              <c:ptCount val="48"/>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pt idx="23">
                <c:v>16.7</c:v>
              </c:pt>
              <c:pt idx="24">
                <c:v>16.7</c:v>
              </c:pt>
              <c:pt idx="25">
                <c:v>14.3</c:v>
              </c:pt>
              <c:pt idx="26">
                <c:v>14.3</c:v>
              </c:pt>
              <c:pt idx="27">
                <c:v>12.4</c:v>
              </c:pt>
              <c:pt idx="28">
                <c:v>12.4</c:v>
              </c:pt>
              <c:pt idx="29">
                <c:v>6.2</c:v>
              </c:pt>
              <c:pt idx="30">
                <c:v>9.1999999999999993</c:v>
              </c:pt>
              <c:pt idx="31">
                <c:v>11.3</c:v>
              </c:pt>
              <c:pt idx="32">
                <c:v>13.3</c:v>
              </c:pt>
              <c:pt idx="33">
                <c:v>8.6</c:v>
              </c:pt>
              <c:pt idx="34">
                <c:v>10.7</c:v>
              </c:pt>
              <c:pt idx="35">
                <c:v>13.8</c:v>
              </c:pt>
              <c:pt idx="36">
                <c:v>18.100000000000001</c:v>
              </c:pt>
              <c:pt idx="37">
                <c:v>20.399999999999999</c:v>
              </c:pt>
              <c:pt idx="38">
                <c:v>23</c:v>
              </c:pt>
              <c:pt idx="39">
                <c:v>25.2</c:v>
              </c:pt>
              <c:pt idx="40">
                <c:v>28.1</c:v>
              </c:pt>
              <c:pt idx="41">
                <c:v>46.3</c:v>
              </c:pt>
              <c:pt idx="42">
                <c:v>18.3</c:v>
              </c:pt>
              <c:pt idx="43">
                <c:v>23.2</c:v>
              </c:pt>
              <c:pt idx="44">
                <c:v>28.4</c:v>
              </c:pt>
              <c:pt idx="45">
                <c:v>33.5</c:v>
              </c:pt>
              <c:pt idx="46">
                <c:v>20.5</c:v>
              </c:pt>
              <c:pt idx="47">
                <c:v>24.3</c:v>
              </c:pt>
            </c:numLit>
          </c:xVal>
          <c:yVal>
            <c:numLit>
              <c:formatCode>General</c:formatCode>
              <c:ptCount val="48"/>
              <c:pt idx="0">
                <c:v>1.7</c:v>
              </c:pt>
              <c:pt idx="1">
                <c:v>1.4</c:v>
              </c:pt>
              <c:pt idx="2">
                <c:v>2.8</c:v>
              </c:pt>
              <c:pt idx="3">
                <c:v>3.5</c:v>
              </c:pt>
              <c:pt idx="4">
                <c:v>3.4</c:v>
              </c:pt>
              <c:pt idx="5">
                <c:v>3.5</c:v>
              </c:pt>
              <c:pt idx="6">
                <c:v>5.3</c:v>
              </c:pt>
              <c:pt idx="7">
                <c:v>4.9000000000000004</c:v>
              </c:pt>
              <c:pt idx="8">
                <c:v>3.2</c:v>
              </c:pt>
              <c:pt idx="9">
                <c:v>3.3</c:v>
              </c:pt>
              <c:pt idx="10">
                <c:v>1.3</c:v>
              </c:pt>
              <c:pt idx="11">
                <c:v>3</c:v>
              </c:pt>
              <c:pt idx="12">
                <c:v>2.6</c:v>
              </c:pt>
              <c:pt idx="13">
                <c:v>1.4</c:v>
              </c:pt>
              <c:pt idx="14">
                <c:v>1.5</c:v>
              </c:pt>
              <c:pt idx="15">
                <c:v>1.5</c:v>
              </c:pt>
              <c:pt idx="16">
                <c:v>1.2</c:v>
              </c:pt>
              <c:pt idx="17">
                <c:v>1</c:v>
              </c:pt>
              <c:pt idx="18">
                <c:v>2.1</c:v>
              </c:pt>
              <c:pt idx="19">
                <c:v>2.4</c:v>
              </c:pt>
              <c:pt idx="20">
                <c:v>1.4</c:v>
              </c:pt>
              <c:pt idx="21">
                <c:v>2</c:v>
              </c:pt>
              <c:pt idx="22">
                <c:v>1.6</c:v>
              </c:pt>
              <c:pt idx="23">
                <c:v>3.4682748736058171</c:v>
              </c:pt>
              <c:pt idx="24">
                <c:v>3.5020679483215993</c:v>
              </c:pt>
              <c:pt idx="25">
                <c:v>1.9124279312569545</c:v>
              </c:pt>
              <c:pt idx="26">
                <c:v>2.3776424412901371</c:v>
              </c:pt>
              <c:pt idx="27">
                <c:v>2.7034043328329256</c:v>
              </c:pt>
              <c:pt idx="28">
                <c:v>1.8746042631630415</c:v>
              </c:pt>
              <c:pt idx="29">
                <c:v>0.625</c:v>
              </c:pt>
              <c:pt idx="30">
                <c:v>1.1000000000000001</c:v>
              </c:pt>
              <c:pt idx="31">
                <c:v>1.1499999999999999</c:v>
              </c:pt>
              <c:pt idx="32">
                <c:v>1.35</c:v>
              </c:pt>
              <c:pt idx="33">
                <c:v>1.0249999999999999</c:v>
              </c:pt>
              <c:pt idx="34">
                <c:v>1.125</c:v>
              </c:pt>
              <c:pt idx="35">
                <c:v>1.55</c:v>
              </c:pt>
              <c:pt idx="36">
                <c:v>1.65</c:v>
              </c:pt>
              <c:pt idx="37">
                <c:v>1.5</c:v>
              </c:pt>
              <c:pt idx="38">
                <c:v>1.4</c:v>
              </c:pt>
              <c:pt idx="39">
                <c:v>1.8</c:v>
              </c:pt>
              <c:pt idx="40">
                <c:v>2.3250000000000002</c:v>
              </c:pt>
              <c:pt idx="41">
                <c:v>4.05</c:v>
              </c:pt>
              <c:pt idx="42">
                <c:v>1.55</c:v>
              </c:pt>
              <c:pt idx="43">
                <c:v>1.7749999999999999</c:v>
              </c:pt>
              <c:pt idx="44">
                <c:v>2.2999999999999998</c:v>
              </c:pt>
              <c:pt idx="45">
                <c:v>2.1749999999999998</c:v>
              </c:pt>
              <c:pt idx="46">
                <c:v>1.325</c:v>
              </c:pt>
              <c:pt idx="47">
                <c:v>1.375</c:v>
              </c:pt>
            </c:numLit>
          </c:yVal>
          <c:smooth val="0"/>
        </c:ser>
        <c:dLbls>
          <c:showLegendKey val="0"/>
          <c:showVal val="0"/>
          <c:showCatName val="0"/>
          <c:showSerName val="0"/>
          <c:showPercent val="0"/>
          <c:showBubbleSize val="0"/>
        </c:dLbls>
        <c:axId val="256150912"/>
        <c:axId val="256151488"/>
      </c:scatterChart>
      <c:valAx>
        <c:axId val="256150912"/>
        <c:scaling>
          <c:orientation val="minMax"/>
        </c:scaling>
        <c:delete val="0"/>
        <c:axPos val="b"/>
        <c:title>
          <c:tx>
            <c:rich>
              <a:bodyPr/>
              <a:lstStyle/>
              <a:p>
                <a:pPr>
                  <a:defRPr sz="1200" b="1" i="0" u="none" strike="noStrike" baseline="0">
                    <a:solidFill>
                      <a:srgbClr val="000000"/>
                    </a:solidFill>
                    <a:latin typeface="Arial"/>
                    <a:ea typeface="Arial"/>
                    <a:cs typeface="Arial"/>
                  </a:defRPr>
                </a:pPr>
                <a:r>
                  <a:t>BHD in cm</a:t>
                </a:r>
              </a:p>
            </c:rich>
          </c:tx>
          <c:layout>
            <c:manualLayout>
              <c:xMode val="edge"/>
              <c:yMode val="edge"/>
              <c:x val="0.4670846394984326"/>
              <c:y val="0.799465240641711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151488"/>
        <c:crosses val="autoZero"/>
        <c:crossBetween val="midCat"/>
      </c:valAx>
      <c:valAx>
        <c:axId val="256151488"/>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t>KrR in m</a:t>
                </a:r>
              </a:p>
            </c:rich>
          </c:tx>
          <c:layout>
            <c:manualLayout>
              <c:xMode val="edge"/>
              <c:yMode val="edge"/>
              <c:x val="2.5078369905956112E-2"/>
              <c:y val="0.360962566844919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150912"/>
        <c:crosses val="autoZero"/>
        <c:crossBetween val="midCat"/>
      </c:valAx>
      <c:spPr>
        <a:solidFill>
          <a:srgbClr val="C0C0C0"/>
        </a:solidFill>
        <a:ln w="12700">
          <a:solidFill>
            <a:srgbClr val="808080"/>
          </a:solidFill>
          <a:prstDash val="solid"/>
        </a:ln>
      </c:spPr>
    </c:plotArea>
    <c:legend>
      <c:legendPos val="b"/>
      <c:layout>
        <c:manualLayout>
          <c:xMode val="edge"/>
          <c:yMode val="edge"/>
          <c:x val="0.38871473354231972"/>
          <c:y val="0.90909090909090906"/>
          <c:w val="0.28996865203761757"/>
          <c:h val="7.2192513368983954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1" i="0" u="none" strike="noStrike" baseline="0">
                <a:solidFill>
                  <a:srgbClr val="000000"/>
                </a:solidFill>
                <a:latin typeface="Arial"/>
                <a:ea typeface="Arial"/>
                <a:cs typeface="Arial"/>
              </a:defRPr>
            </a:pPr>
            <a:r>
              <a:t>KrR-BHD-Beziehung DG</a:t>
            </a:r>
          </a:p>
        </c:rich>
      </c:tx>
      <c:layout>
        <c:manualLayout>
          <c:xMode val="edge"/>
          <c:yMode val="edge"/>
          <c:x val="0.30781273484247956"/>
          <c:y val="3.2608695652173912E-2"/>
        </c:manualLayout>
      </c:layout>
      <c:overlay val="0"/>
      <c:spPr>
        <a:noFill/>
        <a:ln w="25400">
          <a:noFill/>
        </a:ln>
      </c:spPr>
    </c:title>
    <c:autoTitleDeleted val="0"/>
    <c:plotArea>
      <c:layout>
        <c:manualLayout>
          <c:layoutTarget val="inner"/>
          <c:xMode val="edge"/>
          <c:yMode val="edge"/>
          <c:x val="0.10937508344656635"/>
          <c:y val="0.21467391304347827"/>
          <c:w val="0.8500006484990299"/>
          <c:h val="0.48369565217391303"/>
        </c:manualLayout>
      </c:layout>
      <c:scatterChart>
        <c:scatterStyle val="lineMarker"/>
        <c:varyColors val="0"/>
        <c:ser>
          <c:idx val="0"/>
          <c:order val="0"/>
          <c:tx>
            <c:v>Bartelink</c:v>
          </c:tx>
          <c:spPr>
            <a:ln w="28575">
              <a:noFill/>
            </a:ln>
          </c:spPr>
          <c:marker>
            <c:symbol val="diamond"/>
            <c:size val="5"/>
            <c:spPr>
              <a:solidFill>
                <a:srgbClr val="000080"/>
              </a:solidFill>
              <a:ln>
                <a:solidFill>
                  <a:srgbClr val="000080"/>
                </a:solidFill>
                <a:prstDash val="solid"/>
              </a:ln>
            </c:spPr>
          </c:marker>
          <c:xVal>
            <c:numLit>
              <c:formatCode>General</c:formatCode>
              <c:ptCount val="23"/>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numLit>
          </c:xVal>
          <c:yVal>
            <c:numLit>
              <c:formatCode>General</c:formatCode>
              <c:ptCount val="23"/>
              <c:pt idx="0">
                <c:v>1.7</c:v>
              </c:pt>
              <c:pt idx="1">
                <c:v>1.4</c:v>
              </c:pt>
              <c:pt idx="2">
                <c:v>2.8</c:v>
              </c:pt>
              <c:pt idx="3">
                <c:v>3.5</c:v>
              </c:pt>
              <c:pt idx="4">
                <c:v>3.4</c:v>
              </c:pt>
              <c:pt idx="5">
                <c:v>3.5</c:v>
              </c:pt>
              <c:pt idx="6">
                <c:v>5.3</c:v>
              </c:pt>
              <c:pt idx="7">
                <c:v>4.9000000000000004</c:v>
              </c:pt>
              <c:pt idx="8">
                <c:v>3.2</c:v>
              </c:pt>
              <c:pt idx="9">
                <c:v>3.3</c:v>
              </c:pt>
              <c:pt idx="10">
                <c:v>1.3</c:v>
              </c:pt>
              <c:pt idx="11">
                <c:v>3</c:v>
              </c:pt>
              <c:pt idx="12">
                <c:v>2.6</c:v>
              </c:pt>
              <c:pt idx="13">
                <c:v>1.4</c:v>
              </c:pt>
              <c:pt idx="14">
                <c:v>1.5</c:v>
              </c:pt>
              <c:pt idx="15">
                <c:v>1.5</c:v>
              </c:pt>
              <c:pt idx="16">
                <c:v>1.2</c:v>
              </c:pt>
              <c:pt idx="17">
                <c:v>1</c:v>
              </c:pt>
              <c:pt idx="18">
                <c:v>2.1</c:v>
              </c:pt>
              <c:pt idx="19">
                <c:v>2.4</c:v>
              </c:pt>
              <c:pt idx="20">
                <c:v>1.4</c:v>
              </c:pt>
              <c:pt idx="21">
                <c:v>2</c:v>
              </c:pt>
              <c:pt idx="22">
                <c:v>1.6</c:v>
              </c:pt>
            </c:numLit>
          </c:yVal>
          <c:smooth val="0"/>
        </c:ser>
        <c:ser>
          <c:idx val="1"/>
          <c:order val="1"/>
          <c:tx>
            <c:v>Krischer</c:v>
          </c:tx>
          <c:spPr>
            <a:ln w="28575">
              <a:noFill/>
            </a:ln>
          </c:spPr>
          <c:marker>
            <c:symbol val="diamond"/>
            <c:size val="5"/>
            <c:spPr>
              <a:solidFill>
                <a:srgbClr val="FF00FF"/>
              </a:solidFill>
              <a:ln>
                <a:solidFill>
                  <a:srgbClr val="FF00FF"/>
                </a:solidFill>
                <a:prstDash val="solid"/>
              </a:ln>
            </c:spPr>
          </c:marker>
          <c:xVal>
            <c:numLit>
              <c:formatCode>General</c:formatCode>
              <c:ptCount val="6"/>
              <c:pt idx="0">
                <c:v>16.7</c:v>
              </c:pt>
              <c:pt idx="1">
                <c:v>16.7</c:v>
              </c:pt>
              <c:pt idx="2">
                <c:v>14.3</c:v>
              </c:pt>
              <c:pt idx="3">
                <c:v>14.3</c:v>
              </c:pt>
              <c:pt idx="4">
                <c:v>12.4</c:v>
              </c:pt>
              <c:pt idx="5">
                <c:v>12.4</c:v>
              </c:pt>
            </c:numLit>
          </c:xVal>
          <c:yVal>
            <c:numLit>
              <c:formatCode>General</c:formatCode>
              <c:ptCount val="6"/>
              <c:pt idx="0">
                <c:v>3.4682748736058171</c:v>
              </c:pt>
              <c:pt idx="1">
                <c:v>3.5020679483215993</c:v>
              </c:pt>
              <c:pt idx="2">
                <c:v>1.9124279312569545</c:v>
              </c:pt>
              <c:pt idx="3">
                <c:v>2.3776424412901371</c:v>
              </c:pt>
              <c:pt idx="4">
                <c:v>2.7034043328329256</c:v>
              </c:pt>
              <c:pt idx="5">
                <c:v>1.8746042631630415</c:v>
              </c:pt>
            </c:numLit>
          </c:yVal>
          <c:smooth val="0"/>
        </c:ser>
        <c:ser>
          <c:idx val="2"/>
          <c:order val="2"/>
          <c:tx>
            <c:v>Burger Tab.1</c:v>
          </c:tx>
          <c:spPr>
            <a:ln w="28575">
              <a:noFill/>
            </a:ln>
          </c:spPr>
          <c:marker>
            <c:symbol val="triangle"/>
            <c:size val="5"/>
            <c:spPr>
              <a:solidFill>
                <a:srgbClr val="FFFF00"/>
              </a:solidFill>
              <a:ln>
                <a:solidFill>
                  <a:srgbClr val="FFFF00"/>
                </a:solidFill>
                <a:prstDash val="solid"/>
              </a:ln>
            </c:spPr>
          </c:marker>
          <c:xVal>
            <c:numLit>
              <c:formatCode>General</c:formatCode>
              <c:ptCount val="19"/>
              <c:pt idx="0">
                <c:v>6.2</c:v>
              </c:pt>
              <c:pt idx="1">
                <c:v>9.1999999999999993</c:v>
              </c:pt>
              <c:pt idx="2">
                <c:v>11.3</c:v>
              </c:pt>
              <c:pt idx="3">
                <c:v>13.3</c:v>
              </c:pt>
              <c:pt idx="4">
                <c:v>8.6</c:v>
              </c:pt>
              <c:pt idx="5">
                <c:v>10.7</c:v>
              </c:pt>
              <c:pt idx="6">
                <c:v>13.8</c:v>
              </c:pt>
              <c:pt idx="7">
                <c:v>18.100000000000001</c:v>
              </c:pt>
              <c:pt idx="8">
                <c:v>20.399999999999999</c:v>
              </c:pt>
              <c:pt idx="9">
                <c:v>23</c:v>
              </c:pt>
              <c:pt idx="10">
                <c:v>25.2</c:v>
              </c:pt>
              <c:pt idx="11">
                <c:v>28.1</c:v>
              </c:pt>
              <c:pt idx="12">
                <c:v>46.3</c:v>
              </c:pt>
              <c:pt idx="13">
                <c:v>18.3</c:v>
              </c:pt>
              <c:pt idx="14">
                <c:v>23.2</c:v>
              </c:pt>
              <c:pt idx="15">
                <c:v>28.4</c:v>
              </c:pt>
              <c:pt idx="16">
                <c:v>33.5</c:v>
              </c:pt>
              <c:pt idx="17">
                <c:v>20.5</c:v>
              </c:pt>
              <c:pt idx="18">
                <c:v>24.3</c:v>
              </c:pt>
            </c:numLit>
          </c:xVal>
          <c:yVal>
            <c:numLit>
              <c:formatCode>General</c:formatCode>
              <c:ptCount val="19"/>
              <c:pt idx="0">
                <c:v>0.625</c:v>
              </c:pt>
              <c:pt idx="1">
                <c:v>1.1000000000000001</c:v>
              </c:pt>
              <c:pt idx="2">
                <c:v>1.1499999999999999</c:v>
              </c:pt>
              <c:pt idx="3">
                <c:v>1.35</c:v>
              </c:pt>
              <c:pt idx="4">
                <c:v>1.0249999999999999</c:v>
              </c:pt>
              <c:pt idx="5">
                <c:v>1.125</c:v>
              </c:pt>
              <c:pt idx="6">
                <c:v>1.55</c:v>
              </c:pt>
              <c:pt idx="7">
                <c:v>1.65</c:v>
              </c:pt>
              <c:pt idx="8">
                <c:v>1.5</c:v>
              </c:pt>
              <c:pt idx="9">
                <c:v>1.4</c:v>
              </c:pt>
              <c:pt idx="10">
                <c:v>1.8</c:v>
              </c:pt>
              <c:pt idx="11">
                <c:v>2.3250000000000002</c:v>
              </c:pt>
              <c:pt idx="12">
                <c:v>4.05</c:v>
              </c:pt>
              <c:pt idx="13">
                <c:v>1.55</c:v>
              </c:pt>
              <c:pt idx="14">
                <c:v>1.7749999999999999</c:v>
              </c:pt>
              <c:pt idx="15">
                <c:v>2.2999999999999998</c:v>
              </c:pt>
              <c:pt idx="16">
                <c:v>2.1749999999999998</c:v>
              </c:pt>
              <c:pt idx="17">
                <c:v>1.325</c:v>
              </c:pt>
              <c:pt idx="18">
                <c:v>1.375</c:v>
              </c:pt>
            </c:numLit>
          </c:yVal>
          <c:smooth val="0"/>
        </c:ser>
        <c:dLbls>
          <c:showLegendKey val="0"/>
          <c:showVal val="0"/>
          <c:showCatName val="0"/>
          <c:showSerName val="0"/>
          <c:showPercent val="0"/>
          <c:showBubbleSize val="0"/>
        </c:dLbls>
        <c:axId val="256153216"/>
        <c:axId val="256153792"/>
      </c:scatterChart>
      <c:valAx>
        <c:axId val="256153216"/>
        <c:scaling>
          <c:orientation val="minMax"/>
        </c:scaling>
        <c:delete val="0"/>
        <c:axPos val="b"/>
        <c:title>
          <c:tx>
            <c:rich>
              <a:bodyPr/>
              <a:lstStyle/>
              <a:p>
                <a:pPr>
                  <a:defRPr sz="1200" b="1" i="0" u="none" strike="noStrike" baseline="0">
                    <a:solidFill>
                      <a:srgbClr val="000000"/>
                    </a:solidFill>
                    <a:latin typeface="Arial"/>
                    <a:ea typeface="Arial"/>
                    <a:cs typeface="Arial"/>
                  </a:defRPr>
                </a:pPr>
                <a:r>
                  <a:t>BHD in cm</a:t>
                </a:r>
              </a:p>
            </c:rich>
          </c:tx>
          <c:layout>
            <c:manualLayout>
              <c:xMode val="edge"/>
              <c:yMode val="edge"/>
              <c:x val="0.46718785643604771"/>
              <c:y val="0.7961956521739130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153792"/>
        <c:crosses val="autoZero"/>
        <c:crossBetween val="midCat"/>
      </c:valAx>
      <c:valAx>
        <c:axId val="256153792"/>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t>KrR in m</a:t>
                </a:r>
              </a:p>
            </c:rich>
          </c:tx>
          <c:layout>
            <c:manualLayout>
              <c:xMode val="edge"/>
              <c:yMode val="edge"/>
              <c:x val="2.5000019073500881E-2"/>
              <c:y val="0.3586956521739130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153216"/>
        <c:crosses val="autoZero"/>
        <c:crossBetween val="midCat"/>
      </c:valAx>
      <c:spPr>
        <a:solidFill>
          <a:srgbClr val="C0C0C0"/>
        </a:solidFill>
        <a:ln w="12700">
          <a:solidFill>
            <a:srgbClr val="808080"/>
          </a:solidFill>
          <a:prstDash val="solid"/>
        </a:ln>
      </c:spPr>
    </c:plotArea>
    <c:legend>
      <c:legendPos val="b"/>
      <c:layout>
        <c:manualLayout>
          <c:xMode val="edge"/>
          <c:yMode val="edge"/>
          <c:x val="0.31250023841876101"/>
          <c:y val="0.90760869565217395"/>
          <c:w val="0.44375033855464063"/>
          <c:h val="7.3369565217391311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39265021759692"/>
          <c:y val="6.4516207201127287E-2"/>
          <c:w val="0.87075997605132405"/>
          <c:h val="0.76426891607489245"/>
        </c:manualLayout>
      </c:layout>
      <c:scatterChart>
        <c:scatterStyle val="lineMarker"/>
        <c:varyColors val="0"/>
        <c:ser>
          <c:idx val="1"/>
          <c:order val="0"/>
          <c:tx>
            <c:v>Funktion BWINpro</c:v>
          </c:tx>
          <c:spPr>
            <a:ln w="25400">
              <a:solidFill>
                <a:srgbClr val="FF0000"/>
              </a:solidFill>
              <a:prstDash val="solid"/>
            </a:ln>
          </c:spPr>
          <c:marker>
            <c:symbol val="none"/>
          </c:marker>
          <c:xVal>
            <c:numRef>
              <c:f>'crown_a fit'!$A$6:$A$46</c:f>
              <c:numCache>
                <c:formatCode>General</c:formatCode>
                <c:ptCount val="4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numCache>
            </c:numRef>
          </c:xVal>
          <c:yVal>
            <c:numRef>
              <c:f>'crown_a fit'!$C$6:$C$46</c:f>
              <c:numCache>
                <c:formatCode>General</c:formatCode>
                <c:ptCount val="41"/>
                <c:pt idx="0">
                  <c:v>0.12783581629158108</c:v>
                </c:pt>
                <c:pt idx="1">
                  <c:v>0.32763466452343998</c:v>
                </c:pt>
                <c:pt idx="2">
                  <c:v>0.56334253327621853</c:v>
                </c:pt>
                <c:pt idx="3">
                  <c:v>0.82061241187574574</c:v>
                </c:pt>
                <c:pt idx="4">
                  <c:v>1.0901390498754437</c:v>
                </c:pt>
                <c:pt idx="5">
                  <c:v>1.3651667277332642</c:v>
                </c:pt>
                <c:pt idx="6">
                  <c:v>1.6406077262998775</c:v>
                </c:pt>
                <c:pt idx="7">
                  <c:v>1.9126119728198065</c:v>
                </c:pt>
                <c:pt idx="8">
                  <c:v>2.1783064374892698</c:v>
                </c:pt>
                <c:pt idx="9">
                  <c:v>2.4356113979786587</c:v>
                </c:pt>
                <c:pt idx="10">
                  <c:v>2.6830973234541204</c:v>
                </c:pt>
                <c:pt idx="11">
                  <c:v>2.9198666807506437</c:v>
                </c:pt>
                <c:pt idx="12">
                  <c:v>3.145453337419859</c:v>
                </c:pt>
                <c:pt idx="13">
                  <c:v>3.3597358855975088</c:v>
                </c:pt>
                <c:pt idx="14">
                  <c:v>3.5628628491513621</c:v>
                </c:pt>
                <c:pt idx="15">
                  <c:v>3.7551884678771628</c:v>
                </c:pt>
                <c:pt idx="16">
                  <c:v>3.9372180642112462</c:v>
                </c:pt>
                <c:pt idx="17">
                  <c:v>4.1095621183289328</c:v>
                </c:pt>
                <c:pt idx="18">
                  <c:v>4.2728982171825738</c:v>
                </c:pt>
                <c:pt idx="19">
                  <c:v>4.4279400559004376</c:v>
                </c:pt>
                <c:pt idx="20">
                  <c:v>4.5754126814242913</c:v>
                </c:pt>
                <c:pt idx="21">
                  <c:v>4.7160331890333405</c:v>
                </c:pt>
                <c:pt idx="22">
                  <c:v>4.8504961156222999</c:v>
                </c:pt>
                <c:pt idx="23">
                  <c:v>4.9794628186056542</c:v>
                </c:pt>
                <c:pt idx="24">
                  <c:v>5.1035541837075984</c:v>
                </c:pt>
                <c:pt idx="25">
                  <c:v>5.2233460656676769</c:v>
                </c:pt>
                <c:pt idx="26">
                  <c:v>5.3393669300626323</c:v>
                </c:pt>
                <c:pt idx="27">
                  <c:v>5.4520972293627219</c:v>
                </c:pt>
                <c:pt idx="28">
                  <c:v>5.5619701098221448</c:v>
                </c:pt>
                <c:pt idx="29">
                  <c:v>5.6693731061691324</c:v>
                </c:pt>
                <c:pt idx="30">
                  <c:v>5.774650537114959</c:v>
                </c:pt>
                <c:pt idx="31">
                  <c:v>5.8781063656750643</c:v>
                </c:pt>
                <c:pt idx="32">
                  <c:v>5.9800073337841688</c:v>
                </c:pt>
                <c:pt idx="33">
                  <c:v>6.0805862205771914</c:v>
                </c:pt>
                <c:pt idx="34">
                  <c:v>6.1800451081102805</c:v>
                </c:pt>
                <c:pt idx="35">
                  <c:v>6.2785585674865594</c:v>
                </c:pt>
                <c:pt idx="36">
                  <c:v>6.3762767027163738</c:v>
                </c:pt>
                <c:pt idx="37">
                  <c:v>6.4733280096371422</c:v>
                </c:pt>
                <c:pt idx="38">
                  <c:v>6.569822023331656</c:v>
                </c:pt>
                <c:pt idx="39">
                  <c:v>6.6658517402106376</c:v>
                </c:pt>
                <c:pt idx="40">
                  <c:v>6.7614958107460712</c:v>
                </c:pt>
              </c:numCache>
            </c:numRef>
          </c:yVal>
          <c:smooth val="0"/>
        </c:ser>
        <c:ser>
          <c:idx val="0"/>
          <c:order val="1"/>
          <c:tx>
            <c:v>Daten</c:v>
          </c:tx>
          <c:spPr>
            <a:ln w="28575">
              <a:noFill/>
            </a:ln>
          </c:spPr>
          <c:marker>
            <c:symbol val="square"/>
            <c:size val="3"/>
            <c:spPr>
              <a:solidFill>
                <a:srgbClr val="000080"/>
              </a:solidFill>
              <a:ln>
                <a:solidFill>
                  <a:srgbClr val="000080"/>
                </a:solidFill>
                <a:prstDash val="solid"/>
              </a:ln>
            </c:spPr>
          </c:marker>
          <c:xVal>
            <c:numRef>
              <c:f>'crown_a fit'!$H$52:$H$93</c:f>
              <c:numCache>
                <c:formatCode>General</c:formatCode>
                <c:ptCount val="42"/>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pt idx="23">
                  <c:v>6.2</c:v>
                </c:pt>
                <c:pt idx="24">
                  <c:v>9.1999999999999993</c:v>
                </c:pt>
                <c:pt idx="25">
                  <c:v>11.3</c:v>
                </c:pt>
                <c:pt idx="26">
                  <c:v>13.3</c:v>
                </c:pt>
                <c:pt idx="27">
                  <c:v>8.6</c:v>
                </c:pt>
                <c:pt idx="28">
                  <c:v>10.7</c:v>
                </c:pt>
                <c:pt idx="29">
                  <c:v>13.8</c:v>
                </c:pt>
                <c:pt idx="30">
                  <c:v>18.100000000000001</c:v>
                </c:pt>
                <c:pt idx="31">
                  <c:v>20.399999999999999</c:v>
                </c:pt>
                <c:pt idx="32">
                  <c:v>23</c:v>
                </c:pt>
                <c:pt idx="33">
                  <c:v>25.2</c:v>
                </c:pt>
                <c:pt idx="34">
                  <c:v>28.1</c:v>
                </c:pt>
                <c:pt idx="35">
                  <c:v>46.3</c:v>
                </c:pt>
                <c:pt idx="36">
                  <c:v>18.3</c:v>
                </c:pt>
                <c:pt idx="37">
                  <c:v>23.2</c:v>
                </c:pt>
                <c:pt idx="38">
                  <c:v>28.4</c:v>
                </c:pt>
                <c:pt idx="39">
                  <c:v>33.5</c:v>
                </c:pt>
                <c:pt idx="40">
                  <c:v>20.5</c:v>
                </c:pt>
                <c:pt idx="41">
                  <c:v>24.3</c:v>
                </c:pt>
              </c:numCache>
            </c:numRef>
          </c:xVal>
          <c:yVal>
            <c:numRef>
              <c:f>'crown_a fit'!$E$52:$E$93</c:f>
              <c:numCache>
                <c:formatCode>General</c:formatCode>
                <c:ptCount val="42"/>
                <c:pt idx="0">
                  <c:v>3.4</c:v>
                </c:pt>
                <c:pt idx="1">
                  <c:v>2.8</c:v>
                </c:pt>
                <c:pt idx="2">
                  <c:v>5.6</c:v>
                </c:pt>
                <c:pt idx="3">
                  <c:v>7</c:v>
                </c:pt>
                <c:pt idx="4">
                  <c:v>6.8</c:v>
                </c:pt>
                <c:pt idx="5">
                  <c:v>7</c:v>
                </c:pt>
                <c:pt idx="6">
                  <c:v>10.6</c:v>
                </c:pt>
                <c:pt idx="7">
                  <c:v>9.8000000000000007</c:v>
                </c:pt>
                <c:pt idx="8">
                  <c:v>6.4</c:v>
                </c:pt>
                <c:pt idx="9">
                  <c:v>6.6</c:v>
                </c:pt>
                <c:pt idx="10">
                  <c:v>2.6</c:v>
                </c:pt>
                <c:pt idx="11">
                  <c:v>6</c:v>
                </c:pt>
                <c:pt idx="12">
                  <c:v>5.2</c:v>
                </c:pt>
                <c:pt idx="13">
                  <c:v>2.8</c:v>
                </c:pt>
                <c:pt idx="14">
                  <c:v>3</c:v>
                </c:pt>
                <c:pt idx="15">
                  <c:v>3</c:v>
                </c:pt>
                <c:pt idx="16">
                  <c:v>2.4</c:v>
                </c:pt>
                <c:pt idx="17">
                  <c:v>2</c:v>
                </c:pt>
                <c:pt idx="18">
                  <c:v>4.2</c:v>
                </c:pt>
                <c:pt idx="19">
                  <c:v>4.8</c:v>
                </c:pt>
                <c:pt idx="20">
                  <c:v>2.8</c:v>
                </c:pt>
                <c:pt idx="21">
                  <c:v>4</c:v>
                </c:pt>
                <c:pt idx="22">
                  <c:v>3.2</c:v>
                </c:pt>
                <c:pt idx="23">
                  <c:v>1.25</c:v>
                </c:pt>
                <c:pt idx="24">
                  <c:v>2.2000000000000002</c:v>
                </c:pt>
                <c:pt idx="25">
                  <c:v>2.2999999999999998</c:v>
                </c:pt>
                <c:pt idx="26">
                  <c:v>2.7</c:v>
                </c:pt>
                <c:pt idx="27">
                  <c:v>2.0499999999999998</c:v>
                </c:pt>
                <c:pt idx="28">
                  <c:v>2.25</c:v>
                </c:pt>
                <c:pt idx="29">
                  <c:v>3.1</c:v>
                </c:pt>
                <c:pt idx="30">
                  <c:v>3.3</c:v>
                </c:pt>
                <c:pt idx="31">
                  <c:v>3</c:v>
                </c:pt>
                <c:pt idx="32">
                  <c:v>2.8</c:v>
                </c:pt>
                <c:pt idx="33">
                  <c:v>3.6</c:v>
                </c:pt>
                <c:pt idx="34">
                  <c:v>4.6500000000000004</c:v>
                </c:pt>
                <c:pt idx="35">
                  <c:v>8.1</c:v>
                </c:pt>
                <c:pt idx="36">
                  <c:v>3.1</c:v>
                </c:pt>
                <c:pt idx="37">
                  <c:v>3.55</c:v>
                </c:pt>
                <c:pt idx="38">
                  <c:v>4.5999999999999996</c:v>
                </c:pt>
                <c:pt idx="39">
                  <c:v>4.3499999999999996</c:v>
                </c:pt>
                <c:pt idx="40">
                  <c:v>2.65</c:v>
                </c:pt>
                <c:pt idx="41">
                  <c:v>2.75</c:v>
                </c:pt>
              </c:numCache>
            </c:numRef>
          </c:yVal>
          <c:smooth val="0"/>
        </c:ser>
        <c:ser>
          <c:idx val="2"/>
          <c:order val="2"/>
          <c:tx>
            <c:v>Fit an Fuktion BWINpro</c:v>
          </c:tx>
          <c:spPr>
            <a:ln w="25400">
              <a:solidFill>
                <a:srgbClr val="003300"/>
              </a:solidFill>
              <a:prstDash val="solid"/>
            </a:ln>
          </c:spPr>
          <c:marker>
            <c:symbol val="none"/>
          </c:marker>
          <c:xVal>
            <c:numRef>
              <c:f>'crown_a fit'!$A$6:$A$46</c:f>
              <c:numCache>
                <c:formatCode>General</c:formatCode>
                <c:ptCount val="4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numCache>
            </c:numRef>
          </c:xVal>
          <c:yVal>
            <c:numRef>
              <c:f>'crown_a fit'!$I$6:$I$46</c:f>
              <c:numCache>
                <c:formatCode>General</c:formatCode>
                <c:ptCount val="41"/>
                <c:pt idx="0">
                  <c:v>0.87354326947320282</c:v>
                </c:pt>
                <c:pt idx="1">
                  <c:v>1.0361168365476572</c:v>
                </c:pt>
                <c:pt idx="2">
                  <c:v>1.1986904036221118</c:v>
                </c:pt>
                <c:pt idx="3">
                  <c:v>1.3612639706965661</c:v>
                </c:pt>
                <c:pt idx="4">
                  <c:v>1.5238375377710205</c:v>
                </c:pt>
                <c:pt idx="5">
                  <c:v>1.6864111048454751</c:v>
                </c:pt>
                <c:pt idx="6">
                  <c:v>1.8489846719199297</c:v>
                </c:pt>
                <c:pt idx="7">
                  <c:v>2.0115582389943838</c:v>
                </c:pt>
                <c:pt idx="8">
                  <c:v>2.1741318060688384</c:v>
                </c:pt>
                <c:pt idx="9">
                  <c:v>2.336705373143293</c:v>
                </c:pt>
                <c:pt idx="10">
                  <c:v>2.4992789402177471</c:v>
                </c:pt>
                <c:pt idx="11">
                  <c:v>2.6618525072922017</c:v>
                </c:pt>
                <c:pt idx="12">
                  <c:v>2.8244260743666563</c:v>
                </c:pt>
                <c:pt idx="13">
                  <c:v>2.9869996414411109</c:v>
                </c:pt>
                <c:pt idx="14">
                  <c:v>3.149573208515565</c:v>
                </c:pt>
                <c:pt idx="15">
                  <c:v>3.3121467755900196</c:v>
                </c:pt>
                <c:pt idx="16">
                  <c:v>3.4747203426644742</c:v>
                </c:pt>
                <c:pt idx="17">
                  <c:v>3.6372939097389283</c:v>
                </c:pt>
                <c:pt idx="18">
                  <c:v>3.7998674768133829</c:v>
                </c:pt>
                <c:pt idx="19">
                  <c:v>3.9624410438878375</c:v>
                </c:pt>
                <c:pt idx="20">
                  <c:v>4.1250146109622916</c:v>
                </c:pt>
                <c:pt idx="21">
                  <c:v>4.2875881780367457</c:v>
                </c:pt>
                <c:pt idx="22">
                  <c:v>4.4501617451112008</c:v>
                </c:pt>
                <c:pt idx="23">
                  <c:v>4.6127353121856549</c:v>
                </c:pt>
                <c:pt idx="24">
                  <c:v>4.7753088792601099</c:v>
                </c:pt>
                <c:pt idx="25">
                  <c:v>4.9378824463345641</c:v>
                </c:pt>
                <c:pt idx="26">
                  <c:v>5.1004560134090182</c:v>
                </c:pt>
                <c:pt idx="27">
                  <c:v>5.2630295804834732</c:v>
                </c:pt>
                <c:pt idx="28">
                  <c:v>5.4256031475579274</c:v>
                </c:pt>
                <c:pt idx="29">
                  <c:v>5.5881767146323815</c:v>
                </c:pt>
                <c:pt idx="30">
                  <c:v>5.7507502817068366</c:v>
                </c:pt>
                <c:pt idx="31">
                  <c:v>5.9133238487812907</c:v>
                </c:pt>
                <c:pt idx="32">
                  <c:v>6.0758974158557448</c:v>
                </c:pt>
                <c:pt idx="33">
                  <c:v>6.2384709829301999</c:v>
                </c:pt>
                <c:pt idx="34">
                  <c:v>6.401044550004654</c:v>
                </c:pt>
                <c:pt idx="35">
                  <c:v>6.5636181170791081</c:v>
                </c:pt>
                <c:pt idx="36">
                  <c:v>6.7261916841535632</c:v>
                </c:pt>
                <c:pt idx="37">
                  <c:v>6.8887652512280173</c:v>
                </c:pt>
                <c:pt idx="38">
                  <c:v>7.0513388183024714</c:v>
                </c:pt>
                <c:pt idx="39">
                  <c:v>7.2139123853769265</c:v>
                </c:pt>
                <c:pt idx="40">
                  <c:v>7.3764859524513806</c:v>
                </c:pt>
              </c:numCache>
            </c:numRef>
          </c:yVal>
          <c:smooth val="0"/>
        </c:ser>
        <c:ser>
          <c:idx val="3"/>
          <c:order val="3"/>
          <c:tx>
            <c:v>Fit daten</c:v>
          </c:tx>
          <c:spPr>
            <a:ln w="25400">
              <a:solidFill>
                <a:srgbClr val="000000"/>
              </a:solidFill>
              <a:prstDash val="solid"/>
            </a:ln>
          </c:spPr>
          <c:marker>
            <c:symbol val="none"/>
          </c:marker>
          <c:xVal>
            <c:numRef>
              <c:f>'crown_a fit'!$H$52:$H$93</c:f>
              <c:numCache>
                <c:formatCode>General</c:formatCode>
                <c:ptCount val="42"/>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pt idx="23">
                  <c:v>6.2</c:v>
                </c:pt>
                <c:pt idx="24">
                  <c:v>9.1999999999999993</c:v>
                </c:pt>
                <c:pt idx="25">
                  <c:v>11.3</c:v>
                </c:pt>
                <c:pt idx="26">
                  <c:v>13.3</c:v>
                </c:pt>
                <c:pt idx="27">
                  <c:v>8.6</c:v>
                </c:pt>
                <c:pt idx="28">
                  <c:v>10.7</c:v>
                </c:pt>
                <c:pt idx="29">
                  <c:v>13.8</c:v>
                </c:pt>
                <c:pt idx="30">
                  <c:v>18.100000000000001</c:v>
                </c:pt>
                <c:pt idx="31">
                  <c:v>20.399999999999999</c:v>
                </c:pt>
                <c:pt idx="32">
                  <c:v>23</c:v>
                </c:pt>
                <c:pt idx="33">
                  <c:v>25.2</c:v>
                </c:pt>
                <c:pt idx="34">
                  <c:v>28.1</c:v>
                </c:pt>
                <c:pt idx="35">
                  <c:v>46.3</c:v>
                </c:pt>
                <c:pt idx="36">
                  <c:v>18.3</c:v>
                </c:pt>
                <c:pt idx="37">
                  <c:v>23.2</c:v>
                </c:pt>
                <c:pt idx="38">
                  <c:v>28.4</c:v>
                </c:pt>
                <c:pt idx="39">
                  <c:v>33.5</c:v>
                </c:pt>
                <c:pt idx="40">
                  <c:v>20.5</c:v>
                </c:pt>
                <c:pt idx="41">
                  <c:v>24.3</c:v>
                </c:pt>
              </c:numCache>
            </c:numRef>
          </c:xVal>
          <c:yVal>
            <c:numRef>
              <c:f>'crown_a fit'!$P$52:$P$93</c:f>
              <c:numCache>
                <c:formatCode>General</c:formatCode>
                <c:ptCount val="42"/>
                <c:pt idx="0">
                  <c:v>2.7627008510210072</c:v>
                </c:pt>
                <c:pt idx="1">
                  <c:v>2.6940105352255781</c:v>
                </c:pt>
                <c:pt idx="2">
                  <c:v>5.0123086933212999</c:v>
                </c:pt>
                <c:pt idx="3">
                  <c:v>4.5829942195998701</c:v>
                </c:pt>
                <c:pt idx="4">
                  <c:v>4.9779635354235863</c:v>
                </c:pt>
                <c:pt idx="5">
                  <c:v>5.1153441670144435</c:v>
                </c:pt>
                <c:pt idx="6">
                  <c:v>7.4851600619567389</c:v>
                </c:pt>
                <c:pt idx="7">
                  <c:v>7.5538503777521679</c:v>
                </c:pt>
                <c:pt idx="8">
                  <c:v>5.5618312196847324</c:v>
                </c:pt>
                <c:pt idx="9">
                  <c:v>5.3729328512473025</c:v>
                </c:pt>
                <c:pt idx="10">
                  <c:v>2.367731535197291</c:v>
                </c:pt>
                <c:pt idx="11">
                  <c:v>4.3940958511624419</c:v>
                </c:pt>
                <c:pt idx="12">
                  <c:v>4.5143039038044419</c:v>
                </c:pt>
                <c:pt idx="13">
                  <c:v>2.5051121667881491</c:v>
                </c:pt>
                <c:pt idx="14">
                  <c:v>2.5222847457370063</c:v>
                </c:pt>
                <c:pt idx="15">
                  <c:v>2.0071073772712902</c:v>
                </c:pt>
                <c:pt idx="16">
                  <c:v>1.7151735351407174</c:v>
                </c:pt>
                <c:pt idx="17">
                  <c:v>1.8697267456804321</c:v>
                </c:pt>
                <c:pt idx="18">
                  <c:v>3.7930555879524395</c:v>
                </c:pt>
                <c:pt idx="19">
                  <c:v>4.016299114287583</c:v>
                </c:pt>
                <c:pt idx="20">
                  <c:v>3.0889798510492938</c:v>
                </c:pt>
                <c:pt idx="21">
                  <c:v>2.7970460089187212</c:v>
                </c:pt>
                <c:pt idx="22">
                  <c:v>3.0374621142027225</c:v>
                </c:pt>
                <c:pt idx="23">
                  <c:v>2.0586251141178615</c:v>
                </c:pt>
                <c:pt idx="24">
                  <c:v>2.5738024825835772</c:v>
                </c:pt>
                <c:pt idx="25">
                  <c:v>2.9344266405095789</c:v>
                </c:pt>
                <c:pt idx="26">
                  <c:v>3.2778782194867233</c:v>
                </c:pt>
                <c:pt idx="27">
                  <c:v>2.4707670088904345</c:v>
                </c:pt>
                <c:pt idx="28">
                  <c:v>2.8313911668164353</c:v>
                </c:pt>
                <c:pt idx="29">
                  <c:v>3.3637411142310092</c:v>
                </c:pt>
                <c:pt idx="30">
                  <c:v>4.1021620090318693</c:v>
                </c:pt>
                <c:pt idx="31">
                  <c:v>4.4971313248555846</c:v>
                </c:pt>
                <c:pt idx="32">
                  <c:v>4.9436183775258726</c:v>
                </c:pt>
                <c:pt idx="33">
                  <c:v>5.3214151144007307</c:v>
                </c:pt>
                <c:pt idx="34">
                  <c:v>5.8194199039175896</c:v>
                </c:pt>
                <c:pt idx="35">
                  <c:v>8.944829272609601</c:v>
                </c:pt>
                <c:pt idx="36">
                  <c:v>4.136507166929583</c:v>
                </c:pt>
                <c:pt idx="37">
                  <c:v>4.9779635354235863</c:v>
                </c:pt>
                <c:pt idx="38">
                  <c:v>5.8709376407641614</c:v>
                </c:pt>
                <c:pt idx="39">
                  <c:v>6.7467391671558783</c:v>
                </c:pt>
                <c:pt idx="40">
                  <c:v>4.5143039038044419</c:v>
                </c:pt>
                <c:pt idx="41">
                  <c:v>5.1668619038610153</c:v>
                </c:pt>
              </c:numCache>
            </c:numRef>
          </c:yVal>
          <c:smooth val="0"/>
        </c:ser>
        <c:dLbls>
          <c:showLegendKey val="0"/>
          <c:showVal val="0"/>
          <c:showCatName val="0"/>
          <c:showSerName val="0"/>
          <c:showPercent val="0"/>
          <c:showBubbleSize val="0"/>
        </c:dLbls>
        <c:axId val="256442944"/>
        <c:axId val="256443520"/>
      </c:scatterChart>
      <c:valAx>
        <c:axId val="256442944"/>
        <c:scaling>
          <c:orientation val="minMax"/>
        </c:scaling>
        <c:delete val="0"/>
        <c:axPos val="b"/>
        <c:title>
          <c:tx>
            <c:rich>
              <a:bodyPr/>
              <a:lstStyle/>
              <a:p>
                <a:pPr>
                  <a:defRPr sz="1000" b="1" i="0" u="none" strike="noStrike" baseline="0">
                    <a:solidFill>
                      <a:srgbClr val="000000"/>
                    </a:solidFill>
                    <a:latin typeface="Arial"/>
                    <a:ea typeface="Arial"/>
                    <a:cs typeface="Arial"/>
                  </a:defRPr>
                </a:pPr>
                <a:r>
                  <a:t>BHD cm</a:t>
                </a:r>
              </a:p>
            </c:rich>
          </c:tx>
          <c:layout>
            <c:manualLayout>
              <c:xMode val="edge"/>
              <c:yMode val="edge"/>
              <c:x val="0.49434610885288521"/>
              <c:y val="0.9057082934004407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443520"/>
        <c:crosses val="autoZero"/>
        <c:crossBetween val="midCat"/>
      </c:valAx>
      <c:valAx>
        <c:axId val="25644352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kronendurchmesser(breite) [m]</a:t>
                </a:r>
              </a:p>
            </c:rich>
          </c:tx>
          <c:layout>
            <c:manualLayout>
              <c:xMode val="edge"/>
              <c:yMode val="edge"/>
              <c:x val="2.4232652394749275E-2"/>
              <c:y val="0.2009927993573580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442944"/>
        <c:crosses val="autoZero"/>
        <c:crossBetween val="midCat"/>
      </c:valAx>
      <c:spPr>
        <a:noFill/>
        <a:ln w="12700">
          <a:solidFill>
            <a:srgbClr val="808080"/>
          </a:solidFill>
          <a:prstDash val="solid"/>
        </a:ln>
      </c:spPr>
    </c:plotArea>
    <c:legend>
      <c:legendPos val="r"/>
      <c:layout>
        <c:manualLayout>
          <c:xMode val="edge"/>
          <c:yMode val="edge"/>
          <c:x val="0.13408734325094598"/>
          <c:y val="9.6774310801690938E-2"/>
          <c:w val="0.2778677474597917"/>
          <c:h val="0.21091836969599306"/>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697957184247833E-2"/>
          <c:y val="6.4516207201127287E-2"/>
          <c:w val="0.69466936864947926"/>
          <c:h val="0.80893398259874982"/>
        </c:manualLayout>
      </c:layout>
      <c:lineChart>
        <c:grouping val="standard"/>
        <c:varyColors val="0"/>
        <c:ser>
          <c:idx val="1"/>
          <c:order val="0"/>
          <c:tx>
            <c:v>BWINpro</c:v>
          </c:tx>
          <c:spPr>
            <a:ln w="12700">
              <a:solidFill>
                <a:srgbClr val="FF00FF"/>
              </a:solidFill>
              <a:prstDash val="solid"/>
            </a:ln>
          </c:spPr>
          <c:marker>
            <c:symbol val="none"/>
          </c:marker>
          <c:cat>
            <c:numRef>
              <c:f>Kronenansatzhöhe!$C$2:$C$204</c:f>
              <c:numCache>
                <c:formatCode>General</c:formatCode>
                <c:ptCount val="203"/>
                <c:pt idx="0">
                  <c:v>15.2</c:v>
                </c:pt>
                <c:pt idx="1">
                  <c:v>14.3</c:v>
                </c:pt>
                <c:pt idx="2">
                  <c:v>14.2</c:v>
                </c:pt>
                <c:pt idx="3">
                  <c:v>14.2</c:v>
                </c:pt>
                <c:pt idx="4">
                  <c:v>14</c:v>
                </c:pt>
                <c:pt idx="5">
                  <c:v>13.9</c:v>
                </c:pt>
                <c:pt idx="6">
                  <c:v>13.9</c:v>
                </c:pt>
                <c:pt idx="7">
                  <c:v>13.8</c:v>
                </c:pt>
                <c:pt idx="8">
                  <c:v>13.7</c:v>
                </c:pt>
                <c:pt idx="9">
                  <c:v>13.7</c:v>
                </c:pt>
                <c:pt idx="10">
                  <c:v>13.6</c:v>
                </c:pt>
                <c:pt idx="11">
                  <c:v>13.6</c:v>
                </c:pt>
                <c:pt idx="12">
                  <c:v>13.5</c:v>
                </c:pt>
                <c:pt idx="13">
                  <c:v>13.2</c:v>
                </c:pt>
                <c:pt idx="14">
                  <c:v>13.1</c:v>
                </c:pt>
                <c:pt idx="15">
                  <c:v>13</c:v>
                </c:pt>
                <c:pt idx="16">
                  <c:v>13</c:v>
                </c:pt>
                <c:pt idx="17">
                  <c:v>13</c:v>
                </c:pt>
                <c:pt idx="18">
                  <c:v>12.9</c:v>
                </c:pt>
                <c:pt idx="19">
                  <c:v>12.8</c:v>
                </c:pt>
                <c:pt idx="20">
                  <c:v>12.7</c:v>
                </c:pt>
                <c:pt idx="21">
                  <c:v>12.7</c:v>
                </c:pt>
                <c:pt idx="22">
                  <c:v>12.7</c:v>
                </c:pt>
                <c:pt idx="23">
                  <c:v>12.6</c:v>
                </c:pt>
                <c:pt idx="24">
                  <c:v>12.5</c:v>
                </c:pt>
                <c:pt idx="25">
                  <c:v>12.5</c:v>
                </c:pt>
                <c:pt idx="26">
                  <c:v>12.5</c:v>
                </c:pt>
                <c:pt idx="27">
                  <c:v>12.4</c:v>
                </c:pt>
                <c:pt idx="28">
                  <c:v>12.4</c:v>
                </c:pt>
                <c:pt idx="29">
                  <c:v>12.3</c:v>
                </c:pt>
                <c:pt idx="30">
                  <c:v>12.3</c:v>
                </c:pt>
                <c:pt idx="31">
                  <c:v>12.3</c:v>
                </c:pt>
                <c:pt idx="32">
                  <c:v>12.3</c:v>
                </c:pt>
                <c:pt idx="33">
                  <c:v>12.2</c:v>
                </c:pt>
                <c:pt idx="34">
                  <c:v>12.2</c:v>
                </c:pt>
                <c:pt idx="35">
                  <c:v>12.1</c:v>
                </c:pt>
                <c:pt idx="36">
                  <c:v>12.1</c:v>
                </c:pt>
                <c:pt idx="37">
                  <c:v>12.1</c:v>
                </c:pt>
                <c:pt idx="38">
                  <c:v>12.1</c:v>
                </c:pt>
                <c:pt idx="39">
                  <c:v>12</c:v>
                </c:pt>
                <c:pt idx="40">
                  <c:v>12</c:v>
                </c:pt>
                <c:pt idx="41">
                  <c:v>11.9</c:v>
                </c:pt>
                <c:pt idx="42">
                  <c:v>11.9</c:v>
                </c:pt>
                <c:pt idx="43">
                  <c:v>11.9</c:v>
                </c:pt>
                <c:pt idx="44">
                  <c:v>11.9</c:v>
                </c:pt>
                <c:pt idx="45">
                  <c:v>11.9</c:v>
                </c:pt>
                <c:pt idx="46">
                  <c:v>11.8</c:v>
                </c:pt>
                <c:pt idx="47">
                  <c:v>11.8</c:v>
                </c:pt>
                <c:pt idx="48">
                  <c:v>11.7</c:v>
                </c:pt>
                <c:pt idx="49">
                  <c:v>11.7</c:v>
                </c:pt>
                <c:pt idx="50">
                  <c:v>11.7</c:v>
                </c:pt>
                <c:pt idx="51">
                  <c:v>11.7</c:v>
                </c:pt>
                <c:pt idx="52">
                  <c:v>11.7</c:v>
                </c:pt>
                <c:pt idx="53">
                  <c:v>11.7</c:v>
                </c:pt>
                <c:pt idx="54">
                  <c:v>11.6</c:v>
                </c:pt>
                <c:pt idx="55">
                  <c:v>11.6</c:v>
                </c:pt>
                <c:pt idx="56">
                  <c:v>11.6</c:v>
                </c:pt>
                <c:pt idx="57">
                  <c:v>11.5</c:v>
                </c:pt>
                <c:pt idx="58">
                  <c:v>11.5</c:v>
                </c:pt>
                <c:pt idx="59">
                  <c:v>11.4</c:v>
                </c:pt>
                <c:pt idx="60">
                  <c:v>11.4</c:v>
                </c:pt>
                <c:pt idx="61">
                  <c:v>11.3</c:v>
                </c:pt>
                <c:pt idx="62">
                  <c:v>11.3</c:v>
                </c:pt>
                <c:pt idx="63">
                  <c:v>11.2</c:v>
                </c:pt>
                <c:pt idx="64">
                  <c:v>11.2</c:v>
                </c:pt>
                <c:pt idx="65">
                  <c:v>11.2</c:v>
                </c:pt>
                <c:pt idx="66">
                  <c:v>11.2</c:v>
                </c:pt>
                <c:pt idx="67">
                  <c:v>11.2</c:v>
                </c:pt>
                <c:pt idx="68">
                  <c:v>11.2</c:v>
                </c:pt>
                <c:pt idx="69">
                  <c:v>11.1</c:v>
                </c:pt>
                <c:pt idx="70">
                  <c:v>11.1</c:v>
                </c:pt>
                <c:pt idx="71">
                  <c:v>11.1</c:v>
                </c:pt>
                <c:pt idx="72">
                  <c:v>11.1</c:v>
                </c:pt>
                <c:pt idx="73">
                  <c:v>11.1</c:v>
                </c:pt>
                <c:pt idx="74">
                  <c:v>11</c:v>
                </c:pt>
                <c:pt idx="75">
                  <c:v>11</c:v>
                </c:pt>
                <c:pt idx="76">
                  <c:v>11</c:v>
                </c:pt>
                <c:pt idx="77">
                  <c:v>10.8</c:v>
                </c:pt>
                <c:pt idx="78">
                  <c:v>10.8</c:v>
                </c:pt>
                <c:pt idx="79">
                  <c:v>10.8</c:v>
                </c:pt>
                <c:pt idx="80">
                  <c:v>10.7</c:v>
                </c:pt>
                <c:pt idx="81">
                  <c:v>10.7</c:v>
                </c:pt>
                <c:pt idx="82">
                  <c:v>10.7</c:v>
                </c:pt>
                <c:pt idx="83">
                  <c:v>10.7</c:v>
                </c:pt>
                <c:pt idx="84">
                  <c:v>10.7</c:v>
                </c:pt>
                <c:pt idx="85">
                  <c:v>10.7</c:v>
                </c:pt>
                <c:pt idx="86">
                  <c:v>10.6</c:v>
                </c:pt>
                <c:pt idx="87">
                  <c:v>10.6</c:v>
                </c:pt>
                <c:pt idx="88">
                  <c:v>10.5</c:v>
                </c:pt>
                <c:pt idx="89">
                  <c:v>10.4</c:v>
                </c:pt>
                <c:pt idx="90">
                  <c:v>10.4</c:v>
                </c:pt>
                <c:pt idx="91">
                  <c:v>10.4</c:v>
                </c:pt>
                <c:pt idx="92">
                  <c:v>10.4</c:v>
                </c:pt>
                <c:pt idx="93">
                  <c:v>10.3</c:v>
                </c:pt>
                <c:pt idx="94">
                  <c:v>10.199999999999999</c:v>
                </c:pt>
                <c:pt idx="95">
                  <c:v>10.199999999999999</c:v>
                </c:pt>
                <c:pt idx="96">
                  <c:v>10.199999999999999</c:v>
                </c:pt>
                <c:pt idx="97">
                  <c:v>10.1</c:v>
                </c:pt>
                <c:pt idx="98">
                  <c:v>10.1</c:v>
                </c:pt>
                <c:pt idx="99">
                  <c:v>10.1</c:v>
                </c:pt>
                <c:pt idx="100">
                  <c:v>10.1</c:v>
                </c:pt>
                <c:pt idx="101">
                  <c:v>10.1</c:v>
                </c:pt>
                <c:pt idx="102">
                  <c:v>10.1</c:v>
                </c:pt>
                <c:pt idx="103">
                  <c:v>10</c:v>
                </c:pt>
                <c:pt idx="104">
                  <c:v>10</c:v>
                </c:pt>
                <c:pt idx="105">
                  <c:v>10</c:v>
                </c:pt>
                <c:pt idx="106">
                  <c:v>10</c:v>
                </c:pt>
                <c:pt idx="107">
                  <c:v>9.9</c:v>
                </c:pt>
                <c:pt idx="108">
                  <c:v>9.9</c:v>
                </c:pt>
                <c:pt idx="109">
                  <c:v>9.9</c:v>
                </c:pt>
                <c:pt idx="110">
                  <c:v>9.9</c:v>
                </c:pt>
                <c:pt idx="111">
                  <c:v>9.9</c:v>
                </c:pt>
                <c:pt idx="112">
                  <c:v>9.8000000000000007</c:v>
                </c:pt>
                <c:pt idx="113">
                  <c:v>9.8000000000000007</c:v>
                </c:pt>
                <c:pt idx="114">
                  <c:v>9.6999999999999993</c:v>
                </c:pt>
                <c:pt idx="115">
                  <c:v>9.6999999999999993</c:v>
                </c:pt>
                <c:pt idx="116">
                  <c:v>9.6</c:v>
                </c:pt>
                <c:pt idx="117">
                  <c:v>9.6</c:v>
                </c:pt>
                <c:pt idx="118">
                  <c:v>9.6</c:v>
                </c:pt>
                <c:pt idx="119">
                  <c:v>9.5</c:v>
                </c:pt>
                <c:pt idx="120">
                  <c:v>9.5</c:v>
                </c:pt>
                <c:pt idx="121">
                  <c:v>9.5</c:v>
                </c:pt>
                <c:pt idx="122">
                  <c:v>9.5</c:v>
                </c:pt>
                <c:pt idx="123">
                  <c:v>9.5</c:v>
                </c:pt>
                <c:pt idx="124">
                  <c:v>9.5</c:v>
                </c:pt>
                <c:pt idx="125">
                  <c:v>9.5</c:v>
                </c:pt>
                <c:pt idx="126">
                  <c:v>9.4</c:v>
                </c:pt>
                <c:pt idx="127">
                  <c:v>9.3000000000000007</c:v>
                </c:pt>
                <c:pt idx="128">
                  <c:v>9.3000000000000007</c:v>
                </c:pt>
                <c:pt idx="129">
                  <c:v>9.1999999999999993</c:v>
                </c:pt>
                <c:pt idx="130">
                  <c:v>9.1</c:v>
                </c:pt>
                <c:pt idx="131">
                  <c:v>9.1</c:v>
                </c:pt>
                <c:pt idx="132">
                  <c:v>9.1</c:v>
                </c:pt>
                <c:pt idx="133">
                  <c:v>9.1</c:v>
                </c:pt>
                <c:pt idx="134">
                  <c:v>9</c:v>
                </c:pt>
                <c:pt idx="135">
                  <c:v>9</c:v>
                </c:pt>
                <c:pt idx="136">
                  <c:v>9</c:v>
                </c:pt>
                <c:pt idx="137">
                  <c:v>8.9</c:v>
                </c:pt>
                <c:pt idx="138">
                  <c:v>8.9</c:v>
                </c:pt>
                <c:pt idx="139">
                  <c:v>8.9</c:v>
                </c:pt>
                <c:pt idx="140">
                  <c:v>8.9</c:v>
                </c:pt>
                <c:pt idx="141">
                  <c:v>8.9</c:v>
                </c:pt>
                <c:pt idx="142">
                  <c:v>8.9</c:v>
                </c:pt>
                <c:pt idx="143">
                  <c:v>8.9</c:v>
                </c:pt>
                <c:pt idx="144">
                  <c:v>8.9</c:v>
                </c:pt>
                <c:pt idx="145">
                  <c:v>8.8000000000000007</c:v>
                </c:pt>
                <c:pt idx="146">
                  <c:v>8.6999999999999993</c:v>
                </c:pt>
                <c:pt idx="147">
                  <c:v>8.6</c:v>
                </c:pt>
                <c:pt idx="148">
                  <c:v>8.6</c:v>
                </c:pt>
                <c:pt idx="149">
                  <c:v>8.6</c:v>
                </c:pt>
                <c:pt idx="150">
                  <c:v>8.5</c:v>
                </c:pt>
                <c:pt idx="151">
                  <c:v>8.5</c:v>
                </c:pt>
                <c:pt idx="152">
                  <c:v>8.5</c:v>
                </c:pt>
                <c:pt idx="153">
                  <c:v>8.4</c:v>
                </c:pt>
                <c:pt idx="154">
                  <c:v>8.4</c:v>
                </c:pt>
                <c:pt idx="155">
                  <c:v>8.4</c:v>
                </c:pt>
                <c:pt idx="156">
                  <c:v>8.4</c:v>
                </c:pt>
                <c:pt idx="157">
                  <c:v>8.4</c:v>
                </c:pt>
                <c:pt idx="158">
                  <c:v>8.4</c:v>
                </c:pt>
                <c:pt idx="159">
                  <c:v>8.4</c:v>
                </c:pt>
                <c:pt idx="160">
                  <c:v>8.4</c:v>
                </c:pt>
                <c:pt idx="161">
                  <c:v>8.3000000000000007</c:v>
                </c:pt>
                <c:pt idx="162">
                  <c:v>8.3000000000000007</c:v>
                </c:pt>
                <c:pt idx="163">
                  <c:v>8.1999999999999993</c:v>
                </c:pt>
                <c:pt idx="164">
                  <c:v>8.1</c:v>
                </c:pt>
                <c:pt idx="165">
                  <c:v>8.1</c:v>
                </c:pt>
                <c:pt idx="166">
                  <c:v>8.1</c:v>
                </c:pt>
                <c:pt idx="167">
                  <c:v>8</c:v>
                </c:pt>
                <c:pt idx="168">
                  <c:v>8</c:v>
                </c:pt>
                <c:pt idx="169">
                  <c:v>8</c:v>
                </c:pt>
                <c:pt idx="170">
                  <c:v>8</c:v>
                </c:pt>
                <c:pt idx="171">
                  <c:v>7.7</c:v>
                </c:pt>
                <c:pt idx="172">
                  <c:v>7.7</c:v>
                </c:pt>
                <c:pt idx="173">
                  <c:v>7.6</c:v>
                </c:pt>
                <c:pt idx="174">
                  <c:v>7.6</c:v>
                </c:pt>
                <c:pt idx="175">
                  <c:v>7.6</c:v>
                </c:pt>
                <c:pt idx="176">
                  <c:v>7.6</c:v>
                </c:pt>
                <c:pt idx="177">
                  <c:v>7.5</c:v>
                </c:pt>
                <c:pt idx="178">
                  <c:v>7.4</c:v>
                </c:pt>
                <c:pt idx="179">
                  <c:v>7.3</c:v>
                </c:pt>
                <c:pt idx="180">
                  <c:v>7.3</c:v>
                </c:pt>
                <c:pt idx="181">
                  <c:v>7.3</c:v>
                </c:pt>
                <c:pt idx="182">
                  <c:v>7.3</c:v>
                </c:pt>
                <c:pt idx="183">
                  <c:v>7.3</c:v>
                </c:pt>
                <c:pt idx="184">
                  <c:v>7.2</c:v>
                </c:pt>
                <c:pt idx="185">
                  <c:v>7.2</c:v>
                </c:pt>
                <c:pt idx="186">
                  <c:v>7</c:v>
                </c:pt>
                <c:pt idx="187">
                  <c:v>6.9</c:v>
                </c:pt>
                <c:pt idx="188">
                  <c:v>6.9</c:v>
                </c:pt>
                <c:pt idx="189">
                  <c:v>6.9</c:v>
                </c:pt>
                <c:pt idx="190">
                  <c:v>6.7</c:v>
                </c:pt>
                <c:pt idx="191">
                  <c:v>6.5</c:v>
                </c:pt>
                <c:pt idx="192">
                  <c:v>6.4</c:v>
                </c:pt>
                <c:pt idx="193">
                  <c:v>6.3</c:v>
                </c:pt>
                <c:pt idx="194">
                  <c:v>6.3</c:v>
                </c:pt>
                <c:pt idx="195">
                  <c:v>6.3</c:v>
                </c:pt>
                <c:pt idx="196">
                  <c:v>6.1</c:v>
                </c:pt>
                <c:pt idx="197">
                  <c:v>5.9</c:v>
                </c:pt>
                <c:pt idx="198">
                  <c:v>5.4</c:v>
                </c:pt>
                <c:pt idx="199">
                  <c:v>5.4</c:v>
                </c:pt>
                <c:pt idx="200">
                  <c:v>5.3</c:v>
                </c:pt>
                <c:pt idx="201">
                  <c:v>4.7</c:v>
                </c:pt>
                <c:pt idx="202">
                  <c:v>4.0999999999999996</c:v>
                </c:pt>
              </c:numCache>
            </c:numRef>
          </c:cat>
          <c:val>
            <c:numRef>
              <c:f>Kronenansatzhöhe!$E$2:$E$206</c:f>
              <c:numCache>
                <c:formatCode>General</c:formatCode>
                <c:ptCount val="205"/>
                <c:pt idx="0">
                  <c:v>2.9891387763224819</c:v>
                </c:pt>
                <c:pt idx="1">
                  <c:v>3.2647248076961382</c:v>
                </c:pt>
                <c:pt idx="2">
                  <c:v>3.2336078217386697</c:v>
                </c:pt>
                <c:pt idx="3">
                  <c:v>3.2519166449582153</c:v>
                </c:pt>
                <c:pt idx="4">
                  <c:v>3.3179772794951385</c:v>
                </c:pt>
                <c:pt idx="5">
                  <c:v>3.3044097328930571</c:v>
                </c:pt>
                <c:pt idx="6">
                  <c:v>3.3323701841329099</c:v>
                </c:pt>
                <c:pt idx="7">
                  <c:v>3.3278994283034384</c:v>
                </c:pt>
                <c:pt idx="8">
                  <c:v>3.3325953494683107</c:v>
                </c:pt>
                <c:pt idx="9">
                  <c:v>3.3325953494683107</c:v>
                </c:pt>
                <c:pt idx="10">
                  <c:v>3.3371203933859848</c:v>
                </c:pt>
                <c:pt idx="11">
                  <c:v>3.3465126634000586</c:v>
                </c:pt>
                <c:pt idx="12">
                  <c:v>3.3414792102019302</c:v>
                </c:pt>
                <c:pt idx="13">
                  <c:v>3.3916954117700078</c:v>
                </c:pt>
                <c:pt idx="14">
                  <c:v>3.4148161956438434</c:v>
                </c:pt>
                <c:pt idx="15">
                  <c:v>3.4380488853793878</c:v>
                </c:pt>
                <c:pt idx="16">
                  <c:v>3.4186070416085186</c:v>
                </c:pt>
                <c:pt idx="17">
                  <c:v>3.4089288956201087</c:v>
                </c:pt>
                <c:pt idx="18">
                  <c:v>3.4125641591654023</c:v>
                </c:pt>
                <c:pt idx="19">
                  <c:v>3.4454252106182652</c:v>
                </c:pt>
                <c:pt idx="20">
                  <c:v>3.4489576747923638</c:v>
                </c:pt>
                <c:pt idx="21">
                  <c:v>3.4489576747923638</c:v>
                </c:pt>
                <c:pt idx="22">
                  <c:v>3.4489576747923638</c:v>
                </c:pt>
                <c:pt idx="23">
                  <c:v>3.4425003894595907</c:v>
                </c:pt>
                <c:pt idx="24">
                  <c:v>3.4260190251460889</c:v>
                </c:pt>
                <c:pt idx="25">
                  <c:v>3.4458074661980973</c:v>
                </c:pt>
                <c:pt idx="26">
                  <c:v>3.4458074661980973</c:v>
                </c:pt>
                <c:pt idx="27">
                  <c:v>3.4390759045566228</c:v>
                </c:pt>
                <c:pt idx="28">
                  <c:v>3.4490353172783768</c:v>
                </c:pt>
                <c:pt idx="29">
                  <c:v>3.4622391410148006</c:v>
                </c:pt>
                <c:pt idx="30">
                  <c:v>3.4521930400884568</c:v>
                </c:pt>
                <c:pt idx="31">
                  <c:v>3.4622391410148006</c:v>
                </c:pt>
                <c:pt idx="32">
                  <c:v>3.4622391410148006</c:v>
                </c:pt>
                <c:pt idx="33">
                  <c:v>3.4552902356939175</c:v>
                </c:pt>
                <c:pt idx="34">
                  <c:v>3.4452237278821158</c:v>
                </c:pt>
                <c:pt idx="35">
                  <c:v>3.4684988947107818</c:v>
                </c:pt>
                <c:pt idx="36">
                  <c:v>3.4482120443080628</c:v>
                </c:pt>
                <c:pt idx="37">
                  <c:v>3.4280713169761641</c:v>
                </c:pt>
                <c:pt idx="38">
                  <c:v>3.4684988947107818</c:v>
                </c:pt>
                <c:pt idx="39">
                  <c:v>3.4410077903150964</c:v>
                </c:pt>
                <c:pt idx="40">
                  <c:v>3.4511571709403488</c:v>
                </c:pt>
                <c:pt idx="41">
                  <c:v>3.4540702716286482</c:v>
                </c:pt>
                <c:pt idx="42">
                  <c:v>3.4438563159916575</c:v>
                </c:pt>
                <c:pt idx="43">
                  <c:v>3.4438563159916575</c:v>
                </c:pt>
                <c:pt idx="44">
                  <c:v>3.4235435075911429</c:v>
                </c:pt>
                <c:pt idx="45">
                  <c:v>3.4235435075911429</c:v>
                </c:pt>
                <c:pt idx="46">
                  <c:v>3.4364380730748825</c:v>
                </c:pt>
                <c:pt idx="47">
                  <c:v>3.4364380730748825</c:v>
                </c:pt>
                <c:pt idx="48">
                  <c:v>3.4598484246695698</c:v>
                </c:pt>
                <c:pt idx="49">
                  <c:v>3.4186730899324771</c:v>
                </c:pt>
                <c:pt idx="50">
                  <c:v>3.4391795479530156</c:v>
                </c:pt>
                <c:pt idx="51">
                  <c:v>3.4598484246695698</c:v>
                </c:pt>
                <c:pt idx="52">
                  <c:v>3.4494934998965738</c:v>
                </c:pt>
                <c:pt idx="53">
                  <c:v>3.4494934998965738</c:v>
                </c:pt>
                <c:pt idx="54">
                  <c:v>3.4315706050100658</c:v>
                </c:pt>
                <c:pt idx="55">
                  <c:v>3.4212646303315482</c:v>
                </c:pt>
                <c:pt idx="56">
                  <c:v>3.4315706050100658</c:v>
                </c:pt>
                <c:pt idx="57">
                  <c:v>3.4135174890254696</c:v>
                </c:pt>
                <c:pt idx="58">
                  <c:v>3.4238581585940606</c:v>
                </c:pt>
                <c:pt idx="59">
                  <c:v>3.4160466273616148</c:v>
                </c:pt>
                <c:pt idx="60">
                  <c:v>3.4369327275388284</c:v>
                </c:pt>
                <c:pt idx="61">
                  <c:v>3.4186019001636003</c:v>
                </c:pt>
                <c:pt idx="62">
                  <c:v>3.4081406513645534</c:v>
                </c:pt>
                <c:pt idx="63">
                  <c:v>3.4317955171501224</c:v>
                </c:pt>
                <c:pt idx="64">
                  <c:v>3.4106489421547952</c:v>
                </c:pt>
                <c:pt idx="65">
                  <c:v>3.4211989293618226</c:v>
                </c:pt>
                <c:pt idx="66">
                  <c:v>3.4001451074317002</c:v>
                </c:pt>
                <c:pt idx="67">
                  <c:v>3.4211989293618226</c:v>
                </c:pt>
                <c:pt idx="68">
                  <c:v>3.4001451074317002</c:v>
                </c:pt>
                <c:pt idx="69">
                  <c:v>3.4132103329517633</c:v>
                </c:pt>
                <c:pt idx="70">
                  <c:v>3.4238543815345008</c:v>
                </c:pt>
                <c:pt idx="71">
                  <c:v>3.4026140695624738</c:v>
                </c:pt>
                <c:pt idx="72">
                  <c:v>3.3920651258454657</c:v>
                </c:pt>
                <c:pt idx="73">
                  <c:v>3.4238543815345008</c:v>
                </c:pt>
                <c:pt idx="74">
                  <c:v>3.4051480399131404</c:v>
                </c:pt>
                <c:pt idx="75">
                  <c:v>3.3839061084419222</c:v>
                </c:pt>
                <c:pt idx="76">
                  <c:v>3.3839061084419222</c:v>
                </c:pt>
                <c:pt idx="77">
                  <c:v>3.3673740510259642</c:v>
                </c:pt>
                <c:pt idx="78">
                  <c:v>3.3888265152214441</c:v>
                </c:pt>
                <c:pt idx="79">
                  <c:v>3.3673740510259642</c:v>
                </c:pt>
                <c:pt idx="80">
                  <c:v>3.3590133582747721</c:v>
                </c:pt>
                <c:pt idx="81">
                  <c:v>3.3483081717788061</c:v>
                </c:pt>
                <c:pt idx="82">
                  <c:v>3.3590133582747721</c:v>
                </c:pt>
                <c:pt idx="83">
                  <c:v>3.3483081717788061</c:v>
                </c:pt>
                <c:pt idx="84">
                  <c:v>3.3483081717788061</c:v>
                </c:pt>
                <c:pt idx="85">
                  <c:v>3.3805802094078929</c:v>
                </c:pt>
                <c:pt idx="86">
                  <c:v>3.3505983729386495</c:v>
                </c:pt>
                <c:pt idx="87">
                  <c:v>3.3505983729386495</c:v>
                </c:pt>
                <c:pt idx="88">
                  <c:v>3.3313110954072491</c:v>
                </c:pt>
                <c:pt idx="89">
                  <c:v>3.3445809755826481</c:v>
                </c:pt>
                <c:pt idx="90">
                  <c:v>3.3227441100263984</c:v>
                </c:pt>
                <c:pt idx="91">
                  <c:v>3.3227441100263984</c:v>
                </c:pt>
                <c:pt idx="92">
                  <c:v>3.3336343118302905</c:v>
                </c:pt>
                <c:pt idx="93">
                  <c:v>3.3361178102041511</c:v>
                </c:pt>
                <c:pt idx="94">
                  <c:v>3.2945396294654579</c:v>
                </c:pt>
                <c:pt idx="95">
                  <c:v>3.2945396294654579</c:v>
                </c:pt>
                <c:pt idx="96">
                  <c:v>3.2945396294654579</c:v>
                </c:pt>
                <c:pt idx="97">
                  <c:v>3.3079726755039931</c:v>
                </c:pt>
                <c:pt idx="98">
                  <c:v>3.3079726755039931</c:v>
                </c:pt>
                <c:pt idx="99">
                  <c:v>3.2748293639773132</c:v>
                </c:pt>
                <c:pt idx="100">
                  <c:v>3.3079726755039931</c:v>
                </c:pt>
                <c:pt idx="101">
                  <c:v>3.3079726755039931</c:v>
                </c:pt>
                <c:pt idx="102">
                  <c:v>3.285816651059557</c:v>
                </c:pt>
                <c:pt idx="103">
                  <c:v>3.2882071591715869</c:v>
                </c:pt>
                <c:pt idx="104">
                  <c:v>3.2770803408987859</c:v>
                </c:pt>
                <c:pt idx="105">
                  <c:v>3.2660156124433124</c:v>
                </c:pt>
                <c:pt idx="106">
                  <c:v>3.2882071591715869</c:v>
                </c:pt>
                <c:pt idx="107">
                  <c:v>3.2461105086676287</c:v>
                </c:pt>
                <c:pt idx="108">
                  <c:v>3.2571937999209206</c:v>
                </c:pt>
                <c:pt idx="109">
                  <c:v>3.2795509670059331</c:v>
                </c:pt>
                <c:pt idx="110">
                  <c:v>3.2795509670059331</c:v>
                </c:pt>
                <c:pt idx="111">
                  <c:v>3.2683403753451303</c:v>
                </c:pt>
                <c:pt idx="112">
                  <c:v>3.2483739790708905</c:v>
                </c:pt>
                <c:pt idx="113">
                  <c:v>3.2596070661232073</c:v>
                </c:pt>
                <c:pt idx="114">
                  <c:v>3.2171191159360468</c:v>
                </c:pt>
                <c:pt idx="115">
                  <c:v>3.2283097035573065</c:v>
                </c:pt>
                <c:pt idx="116">
                  <c:v>3.2307839312399236</c:v>
                </c:pt>
                <c:pt idx="117">
                  <c:v>3.2307839312399236</c:v>
                </c:pt>
                <c:pt idx="118">
                  <c:v>3.2307839312399236</c:v>
                </c:pt>
                <c:pt idx="119">
                  <c:v>3.1992052430773885</c:v>
                </c:pt>
                <c:pt idx="120">
                  <c:v>3.1992052430773885</c:v>
                </c:pt>
                <c:pt idx="121">
                  <c:v>3.2105857993439821</c:v>
                </c:pt>
                <c:pt idx="122">
                  <c:v>3.2105857993439821</c:v>
                </c:pt>
                <c:pt idx="123">
                  <c:v>3.1878948706918342</c:v>
                </c:pt>
                <c:pt idx="124">
                  <c:v>3.1992052430773885</c:v>
                </c:pt>
                <c:pt idx="125">
                  <c:v>3.1878948706918342</c:v>
                </c:pt>
                <c:pt idx="126">
                  <c:v>3.1788878655630848</c:v>
                </c:pt>
                <c:pt idx="127">
                  <c:v>3.1699263423989636</c:v>
                </c:pt>
                <c:pt idx="128">
                  <c:v>3.1471115182874008</c:v>
                </c:pt>
                <c:pt idx="129">
                  <c:v>3.1379909224899327</c:v>
                </c:pt>
                <c:pt idx="130">
                  <c:v>3.1059769268870245</c:v>
                </c:pt>
                <c:pt idx="131">
                  <c:v>3.1059769268870245</c:v>
                </c:pt>
                <c:pt idx="132">
                  <c:v>3.1289317139196147</c:v>
                </c:pt>
                <c:pt idx="133">
                  <c:v>3.1174160812472458</c:v>
                </c:pt>
                <c:pt idx="134">
                  <c:v>3.0852838243666261</c:v>
                </c:pt>
                <c:pt idx="135">
                  <c:v>3.0967603572162572</c:v>
                </c:pt>
                <c:pt idx="136">
                  <c:v>3.0967603572162572</c:v>
                </c:pt>
                <c:pt idx="137">
                  <c:v>3.0760264482338835</c:v>
                </c:pt>
                <c:pt idx="138">
                  <c:v>3.0645102612913635</c:v>
                </c:pt>
                <c:pt idx="139">
                  <c:v>3.0760264482338835</c:v>
                </c:pt>
                <c:pt idx="140">
                  <c:v>3.0645102612913635</c:v>
                </c:pt>
                <c:pt idx="141">
                  <c:v>3.0876226513431115</c:v>
                </c:pt>
                <c:pt idx="142">
                  <c:v>3.0876226513431115</c:v>
                </c:pt>
                <c:pt idx="143">
                  <c:v>3.0876226513431115</c:v>
                </c:pt>
                <c:pt idx="144">
                  <c:v>3.0876226513431115</c:v>
                </c:pt>
                <c:pt idx="145">
                  <c:v>3.0552172050061799</c:v>
                </c:pt>
                <c:pt idx="146">
                  <c:v>3.0343356429358863</c:v>
                </c:pt>
                <c:pt idx="147">
                  <c:v>3.0133849550623415</c:v>
                </c:pt>
                <c:pt idx="148">
                  <c:v>3.0251208302441484</c:v>
                </c:pt>
                <c:pt idx="149">
                  <c:v>3.0017349824827901</c:v>
                </c:pt>
                <c:pt idx="150">
                  <c:v>2.9806685862637696</c:v>
                </c:pt>
                <c:pt idx="151">
                  <c:v>2.9923685262376485</c:v>
                </c:pt>
                <c:pt idx="152">
                  <c:v>2.9923685262376485</c:v>
                </c:pt>
                <c:pt idx="153">
                  <c:v>2.9595371165650448</c:v>
                </c:pt>
                <c:pt idx="154">
                  <c:v>2.9478732806903882</c:v>
                </c:pt>
                <c:pt idx="155">
                  <c:v>2.9712899486788893</c:v>
                </c:pt>
                <c:pt idx="156">
                  <c:v>2.9478732806903882</c:v>
                </c:pt>
                <c:pt idx="157">
                  <c:v>2.9712899486788893</c:v>
                </c:pt>
                <c:pt idx="158">
                  <c:v>2.9595371165650448</c:v>
                </c:pt>
                <c:pt idx="159">
                  <c:v>2.9712899486788893</c:v>
                </c:pt>
                <c:pt idx="160">
                  <c:v>2.9478732806903882</c:v>
                </c:pt>
                <c:pt idx="161">
                  <c:v>2.9383442312411816</c:v>
                </c:pt>
                <c:pt idx="162">
                  <c:v>2.9383442312411816</c:v>
                </c:pt>
                <c:pt idx="163">
                  <c:v>2.9053194477005344</c:v>
                </c:pt>
                <c:pt idx="164">
                  <c:v>2.8957900222780597</c:v>
                </c:pt>
                <c:pt idx="165">
                  <c:v>2.8957900222780597</c:v>
                </c:pt>
                <c:pt idx="166">
                  <c:v>2.8839554840544288</c:v>
                </c:pt>
                <c:pt idx="167">
                  <c:v>2.8625390339451409</c:v>
                </c:pt>
                <c:pt idx="168">
                  <c:v>2.8507381230702338</c:v>
                </c:pt>
                <c:pt idx="169">
                  <c:v>2.8507381230702338</c:v>
                </c:pt>
                <c:pt idx="170">
                  <c:v>2.8625390339451409</c:v>
                </c:pt>
                <c:pt idx="171">
                  <c:v>2.7741121067079226</c:v>
                </c:pt>
                <c:pt idx="172">
                  <c:v>2.7980213831375549</c:v>
                </c:pt>
                <c:pt idx="173">
                  <c:v>2.7523833517787062</c:v>
                </c:pt>
                <c:pt idx="174">
                  <c:v>2.7523833517787062</c:v>
                </c:pt>
                <c:pt idx="175">
                  <c:v>2.7643597272393761</c:v>
                </c:pt>
                <c:pt idx="176">
                  <c:v>2.7643597272393761</c:v>
                </c:pt>
                <c:pt idx="177">
                  <c:v>2.7186730725406485</c:v>
                </c:pt>
                <c:pt idx="178">
                  <c:v>2.7088250284735444</c:v>
                </c:pt>
                <c:pt idx="179">
                  <c:v>2.6748975451747641</c:v>
                </c:pt>
                <c:pt idx="180">
                  <c:v>2.6748975451747641</c:v>
                </c:pt>
                <c:pt idx="181">
                  <c:v>2.6748975451747641</c:v>
                </c:pt>
                <c:pt idx="182">
                  <c:v>2.6748975451747641</c:v>
                </c:pt>
                <c:pt idx="183">
                  <c:v>2.6748975451747641</c:v>
                </c:pt>
                <c:pt idx="184">
                  <c:v>2.6529736662252095</c:v>
                </c:pt>
                <c:pt idx="185">
                  <c:v>2.6408912450739006</c:v>
                </c:pt>
                <c:pt idx="186">
                  <c:v>2.5726424844205642</c:v>
                </c:pt>
                <c:pt idx="187">
                  <c:v>2.550400152152962</c:v>
                </c:pt>
                <c:pt idx="188">
                  <c:v>2.5384001688330233</c:v>
                </c:pt>
                <c:pt idx="189">
                  <c:v>2.5384001688330233</c:v>
                </c:pt>
                <c:pt idx="190">
                  <c:v>2.4816250680701946</c:v>
                </c:pt>
                <c:pt idx="191">
                  <c:v>2.4245563286666538</c:v>
                </c:pt>
                <c:pt idx="192">
                  <c:v>2.3778747558633646</c:v>
                </c:pt>
                <c:pt idx="193">
                  <c:v>2.3672097138169894</c:v>
                </c:pt>
                <c:pt idx="194">
                  <c:v>2.355103991334035</c:v>
                </c:pt>
                <c:pt idx="195">
                  <c:v>2.355103991334035</c:v>
                </c:pt>
                <c:pt idx="196">
                  <c:v>2.2853395151085083</c:v>
                </c:pt>
                <c:pt idx="197">
                  <c:v>2.2152634816958026</c:v>
                </c:pt>
                <c:pt idx="198">
                  <c:v>2.0506183943851064</c:v>
                </c:pt>
                <c:pt idx="199">
                  <c:v>2.0506183943851064</c:v>
                </c:pt>
                <c:pt idx="200">
                  <c:v>2.0150546024294842</c:v>
                </c:pt>
                <c:pt idx="201">
                  <c:v>1.7767238720408556</c:v>
                </c:pt>
                <c:pt idx="202">
                  <c:v>1.547999538028523</c:v>
                </c:pt>
              </c:numCache>
            </c:numRef>
          </c:val>
          <c:smooth val="0"/>
        </c:ser>
        <c:ser>
          <c:idx val="2"/>
          <c:order val="1"/>
          <c:tx>
            <c:v>Fit 4C-Funktion</c:v>
          </c:tx>
          <c:spPr>
            <a:ln w="12700">
              <a:solidFill>
                <a:srgbClr val="000080"/>
              </a:solidFill>
              <a:prstDash val="solid"/>
            </a:ln>
          </c:spPr>
          <c:marker>
            <c:symbol val="none"/>
          </c:marker>
          <c:cat>
            <c:numRef>
              <c:f>Kronenansatzhöhe!$C$2:$C$204</c:f>
              <c:numCache>
                <c:formatCode>General</c:formatCode>
                <c:ptCount val="203"/>
                <c:pt idx="0">
                  <c:v>15.2</c:v>
                </c:pt>
                <c:pt idx="1">
                  <c:v>14.3</c:v>
                </c:pt>
                <c:pt idx="2">
                  <c:v>14.2</c:v>
                </c:pt>
                <c:pt idx="3">
                  <c:v>14.2</c:v>
                </c:pt>
                <c:pt idx="4">
                  <c:v>14</c:v>
                </c:pt>
                <c:pt idx="5">
                  <c:v>13.9</c:v>
                </c:pt>
                <c:pt idx="6">
                  <c:v>13.9</c:v>
                </c:pt>
                <c:pt idx="7">
                  <c:v>13.8</c:v>
                </c:pt>
                <c:pt idx="8">
                  <c:v>13.7</c:v>
                </c:pt>
                <c:pt idx="9">
                  <c:v>13.7</c:v>
                </c:pt>
                <c:pt idx="10">
                  <c:v>13.6</c:v>
                </c:pt>
                <c:pt idx="11">
                  <c:v>13.6</c:v>
                </c:pt>
                <c:pt idx="12">
                  <c:v>13.5</c:v>
                </c:pt>
                <c:pt idx="13">
                  <c:v>13.2</c:v>
                </c:pt>
                <c:pt idx="14">
                  <c:v>13.1</c:v>
                </c:pt>
                <c:pt idx="15">
                  <c:v>13</c:v>
                </c:pt>
                <c:pt idx="16">
                  <c:v>13</c:v>
                </c:pt>
                <c:pt idx="17">
                  <c:v>13</c:v>
                </c:pt>
                <c:pt idx="18">
                  <c:v>12.9</c:v>
                </c:pt>
                <c:pt idx="19">
                  <c:v>12.8</c:v>
                </c:pt>
                <c:pt idx="20">
                  <c:v>12.7</c:v>
                </c:pt>
                <c:pt idx="21">
                  <c:v>12.7</c:v>
                </c:pt>
                <c:pt idx="22">
                  <c:v>12.7</c:v>
                </c:pt>
                <c:pt idx="23">
                  <c:v>12.6</c:v>
                </c:pt>
                <c:pt idx="24">
                  <c:v>12.5</c:v>
                </c:pt>
                <c:pt idx="25">
                  <c:v>12.5</c:v>
                </c:pt>
                <c:pt idx="26">
                  <c:v>12.5</c:v>
                </c:pt>
                <c:pt idx="27">
                  <c:v>12.4</c:v>
                </c:pt>
                <c:pt idx="28">
                  <c:v>12.4</c:v>
                </c:pt>
                <c:pt idx="29">
                  <c:v>12.3</c:v>
                </c:pt>
                <c:pt idx="30">
                  <c:v>12.3</c:v>
                </c:pt>
                <c:pt idx="31">
                  <c:v>12.3</c:v>
                </c:pt>
                <c:pt idx="32">
                  <c:v>12.3</c:v>
                </c:pt>
                <c:pt idx="33">
                  <c:v>12.2</c:v>
                </c:pt>
                <c:pt idx="34">
                  <c:v>12.2</c:v>
                </c:pt>
                <c:pt idx="35">
                  <c:v>12.1</c:v>
                </c:pt>
                <c:pt idx="36">
                  <c:v>12.1</c:v>
                </c:pt>
                <c:pt idx="37">
                  <c:v>12.1</c:v>
                </c:pt>
                <c:pt idx="38">
                  <c:v>12.1</c:v>
                </c:pt>
                <c:pt idx="39">
                  <c:v>12</c:v>
                </c:pt>
                <c:pt idx="40">
                  <c:v>12</c:v>
                </c:pt>
                <c:pt idx="41">
                  <c:v>11.9</c:v>
                </c:pt>
                <c:pt idx="42">
                  <c:v>11.9</c:v>
                </c:pt>
                <c:pt idx="43">
                  <c:v>11.9</c:v>
                </c:pt>
                <c:pt idx="44">
                  <c:v>11.9</c:v>
                </c:pt>
                <c:pt idx="45">
                  <c:v>11.9</c:v>
                </c:pt>
                <c:pt idx="46">
                  <c:v>11.8</c:v>
                </c:pt>
                <c:pt idx="47">
                  <c:v>11.8</c:v>
                </c:pt>
                <c:pt idx="48">
                  <c:v>11.7</c:v>
                </c:pt>
                <c:pt idx="49">
                  <c:v>11.7</c:v>
                </c:pt>
                <c:pt idx="50">
                  <c:v>11.7</c:v>
                </c:pt>
                <c:pt idx="51">
                  <c:v>11.7</c:v>
                </c:pt>
                <c:pt idx="52">
                  <c:v>11.7</c:v>
                </c:pt>
                <c:pt idx="53">
                  <c:v>11.7</c:v>
                </c:pt>
                <c:pt idx="54">
                  <c:v>11.6</c:v>
                </c:pt>
                <c:pt idx="55">
                  <c:v>11.6</c:v>
                </c:pt>
                <c:pt idx="56">
                  <c:v>11.6</c:v>
                </c:pt>
                <c:pt idx="57">
                  <c:v>11.5</c:v>
                </c:pt>
                <c:pt idx="58">
                  <c:v>11.5</c:v>
                </c:pt>
                <c:pt idx="59">
                  <c:v>11.4</c:v>
                </c:pt>
                <c:pt idx="60">
                  <c:v>11.4</c:v>
                </c:pt>
                <c:pt idx="61">
                  <c:v>11.3</c:v>
                </c:pt>
                <c:pt idx="62">
                  <c:v>11.3</c:v>
                </c:pt>
                <c:pt idx="63">
                  <c:v>11.2</c:v>
                </c:pt>
                <c:pt idx="64">
                  <c:v>11.2</c:v>
                </c:pt>
                <c:pt idx="65">
                  <c:v>11.2</c:v>
                </c:pt>
                <c:pt idx="66">
                  <c:v>11.2</c:v>
                </c:pt>
                <c:pt idx="67">
                  <c:v>11.2</c:v>
                </c:pt>
                <c:pt idx="68">
                  <c:v>11.2</c:v>
                </c:pt>
                <c:pt idx="69">
                  <c:v>11.1</c:v>
                </c:pt>
                <c:pt idx="70">
                  <c:v>11.1</c:v>
                </c:pt>
                <c:pt idx="71">
                  <c:v>11.1</c:v>
                </c:pt>
                <c:pt idx="72">
                  <c:v>11.1</c:v>
                </c:pt>
                <c:pt idx="73">
                  <c:v>11.1</c:v>
                </c:pt>
                <c:pt idx="74">
                  <c:v>11</c:v>
                </c:pt>
                <c:pt idx="75">
                  <c:v>11</c:v>
                </c:pt>
                <c:pt idx="76">
                  <c:v>11</c:v>
                </c:pt>
                <c:pt idx="77">
                  <c:v>10.8</c:v>
                </c:pt>
                <c:pt idx="78">
                  <c:v>10.8</c:v>
                </c:pt>
                <c:pt idx="79">
                  <c:v>10.8</c:v>
                </c:pt>
                <c:pt idx="80">
                  <c:v>10.7</c:v>
                </c:pt>
                <c:pt idx="81">
                  <c:v>10.7</c:v>
                </c:pt>
                <c:pt idx="82">
                  <c:v>10.7</c:v>
                </c:pt>
                <c:pt idx="83">
                  <c:v>10.7</c:v>
                </c:pt>
                <c:pt idx="84">
                  <c:v>10.7</c:v>
                </c:pt>
                <c:pt idx="85">
                  <c:v>10.7</c:v>
                </c:pt>
                <c:pt idx="86">
                  <c:v>10.6</c:v>
                </c:pt>
                <c:pt idx="87">
                  <c:v>10.6</c:v>
                </c:pt>
                <c:pt idx="88">
                  <c:v>10.5</c:v>
                </c:pt>
                <c:pt idx="89">
                  <c:v>10.4</c:v>
                </c:pt>
                <c:pt idx="90">
                  <c:v>10.4</c:v>
                </c:pt>
                <c:pt idx="91">
                  <c:v>10.4</c:v>
                </c:pt>
                <c:pt idx="92">
                  <c:v>10.4</c:v>
                </c:pt>
                <c:pt idx="93">
                  <c:v>10.3</c:v>
                </c:pt>
                <c:pt idx="94">
                  <c:v>10.199999999999999</c:v>
                </c:pt>
                <c:pt idx="95">
                  <c:v>10.199999999999999</c:v>
                </c:pt>
                <c:pt idx="96">
                  <c:v>10.199999999999999</c:v>
                </c:pt>
                <c:pt idx="97">
                  <c:v>10.1</c:v>
                </c:pt>
                <c:pt idx="98">
                  <c:v>10.1</c:v>
                </c:pt>
                <c:pt idx="99">
                  <c:v>10.1</c:v>
                </c:pt>
                <c:pt idx="100">
                  <c:v>10.1</c:v>
                </c:pt>
                <c:pt idx="101">
                  <c:v>10.1</c:v>
                </c:pt>
                <c:pt idx="102">
                  <c:v>10.1</c:v>
                </c:pt>
                <c:pt idx="103">
                  <c:v>10</c:v>
                </c:pt>
                <c:pt idx="104">
                  <c:v>10</c:v>
                </c:pt>
                <c:pt idx="105">
                  <c:v>10</c:v>
                </c:pt>
                <c:pt idx="106">
                  <c:v>10</c:v>
                </c:pt>
                <c:pt idx="107">
                  <c:v>9.9</c:v>
                </c:pt>
                <c:pt idx="108">
                  <c:v>9.9</c:v>
                </c:pt>
                <c:pt idx="109">
                  <c:v>9.9</c:v>
                </c:pt>
                <c:pt idx="110">
                  <c:v>9.9</c:v>
                </c:pt>
                <c:pt idx="111">
                  <c:v>9.9</c:v>
                </c:pt>
                <c:pt idx="112">
                  <c:v>9.8000000000000007</c:v>
                </c:pt>
                <c:pt idx="113">
                  <c:v>9.8000000000000007</c:v>
                </c:pt>
                <c:pt idx="114">
                  <c:v>9.6999999999999993</c:v>
                </c:pt>
                <c:pt idx="115">
                  <c:v>9.6999999999999993</c:v>
                </c:pt>
                <c:pt idx="116">
                  <c:v>9.6</c:v>
                </c:pt>
                <c:pt idx="117">
                  <c:v>9.6</c:v>
                </c:pt>
                <c:pt idx="118">
                  <c:v>9.6</c:v>
                </c:pt>
                <c:pt idx="119">
                  <c:v>9.5</c:v>
                </c:pt>
                <c:pt idx="120">
                  <c:v>9.5</c:v>
                </c:pt>
                <c:pt idx="121">
                  <c:v>9.5</c:v>
                </c:pt>
                <c:pt idx="122">
                  <c:v>9.5</c:v>
                </c:pt>
                <c:pt idx="123">
                  <c:v>9.5</c:v>
                </c:pt>
                <c:pt idx="124">
                  <c:v>9.5</c:v>
                </c:pt>
                <c:pt idx="125">
                  <c:v>9.5</c:v>
                </c:pt>
                <c:pt idx="126">
                  <c:v>9.4</c:v>
                </c:pt>
                <c:pt idx="127">
                  <c:v>9.3000000000000007</c:v>
                </c:pt>
                <c:pt idx="128">
                  <c:v>9.3000000000000007</c:v>
                </c:pt>
                <c:pt idx="129">
                  <c:v>9.1999999999999993</c:v>
                </c:pt>
                <c:pt idx="130">
                  <c:v>9.1</c:v>
                </c:pt>
                <c:pt idx="131">
                  <c:v>9.1</c:v>
                </c:pt>
                <c:pt idx="132">
                  <c:v>9.1</c:v>
                </c:pt>
                <c:pt idx="133">
                  <c:v>9.1</c:v>
                </c:pt>
                <c:pt idx="134">
                  <c:v>9</c:v>
                </c:pt>
                <c:pt idx="135">
                  <c:v>9</c:v>
                </c:pt>
                <c:pt idx="136">
                  <c:v>9</c:v>
                </c:pt>
                <c:pt idx="137">
                  <c:v>8.9</c:v>
                </c:pt>
                <c:pt idx="138">
                  <c:v>8.9</c:v>
                </c:pt>
                <c:pt idx="139">
                  <c:v>8.9</c:v>
                </c:pt>
                <c:pt idx="140">
                  <c:v>8.9</c:v>
                </c:pt>
                <c:pt idx="141">
                  <c:v>8.9</c:v>
                </c:pt>
                <c:pt idx="142">
                  <c:v>8.9</c:v>
                </c:pt>
                <c:pt idx="143">
                  <c:v>8.9</c:v>
                </c:pt>
                <c:pt idx="144">
                  <c:v>8.9</c:v>
                </c:pt>
                <c:pt idx="145">
                  <c:v>8.8000000000000007</c:v>
                </c:pt>
                <c:pt idx="146">
                  <c:v>8.6999999999999993</c:v>
                </c:pt>
                <c:pt idx="147">
                  <c:v>8.6</c:v>
                </c:pt>
                <c:pt idx="148">
                  <c:v>8.6</c:v>
                </c:pt>
                <c:pt idx="149">
                  <c:v>8.6</c:v>
                </c:pt>
                <c:pt idx="150">
                  <c:v>8.5</c:v>
                </c:pt>
                <c:pt idx="151">
                  <c:v>8.5</c:v>
                </c:pt>
                <c:pt idx="152">
                  <c:v>8.5</c:v>
                </c:pt>
                <c:pt idx="153">
                  <c:v>8.4</c:v>
                </c:pt>
                <c:pt idx="154">
                  <c:v>8.4</c:v>
                </c:pt>
                <c:pt idx="155">
                  <c:v>8.4</c:v>
                </c:pt>
                <c:pt idx="156">
                  <c:v>8.4</c:v>
                </c:pt>
                <c:pt idx="157">
                  <c:v>8.4</c:v>
                </c:pt>
                <c:pt idx="158">
                  <c:v>8.4</c:v>
                </c:pt>
                <c:pt idx="159">
                  <c:v>8.4</c:v>
                </c:pt>
                <c:pt idx="160">
                  <c:v>8.4</c:v>
                </c:pt>
                <c:pt idx="161">
                  <c:v>8.3000000000000007</c:v>
                </c:pt>
                <c:pt idx="162">
                  <c:v>8.3000000000000007</c:v>
                </c:pt>
                <c:pt idx="163">
                  <c:v>8.1999999999999993</c:v>
                </c:pt>
                <c:pt idx="164">
                  <c:v>8.1</c:v>
                </c:pt>
                <c:pt idx="165">
                  <c:v>8.1</c:v>
                </c:pt>
                <c:pt idx="166">
                  <c:v>8.1</c:v>
                </c:pt>
                <c:pt idx="167">
                  <c:v>8</c:v>
                </c:pt>
                <c:pt idx="168">
                  <c:v>8</c:v>
                </c:pt>
                <c:pt idx="169">
                  <c:v>8</c:v>
                </c:pt>
                <c:pt idx="170">
                  <c:v>8</c:v>
                </c:pt>
                <c:pt idx="171">
                  <c:v>7.7</c:v>
                </c:pt>
                <c:pt idx="172">
                  <c:v>7.7</c:v>
                </c:pt>
                <c:pt idx="173">
                  <c:v>7.6</c:v>
                </c:pt>
                <c:pt idx="174">
                  <c:v>7.6</c:v>
                </c:pt>
                <c:pt idx="175">
                  <c:v>7.6</c:v>
                </c:pt>
                <c:pt idx="176">
                  <c:v>7.6</c:v>
                </c:pt>
                <c:pt idx="177">
                  <c:v>7.5</c:v>
                </c:pt>
                <c:pt idx="178">
                  <c:v>7.4</c:v>
                </c:pt>
                <c:pt idx="179">
                  <c:v>7.3</c:v>
                </c:pt>
                <c:pt idx="180">
                  <c:v>7.3</c:v>
                </c:pt>
                <c:pt idx="181">
                  <c:v>7.3</c:v>
                </c:pt>
                <c:pt idx="182">
                  <c:v>7.3</c:v>
                </c:pt>
                <c:pt idx="183">
                  <c:v>7.3</c:v>
                </c:pt>
                <c:pt idx="184">
                  <c:v>7.2</c:v>
                </c:pt>
                <c:pt idx="185">
                  <c:v>7.2</c:v>
                </c:pt>
                <c:pt idx="186">
                  <c:v>7</c:v>
                </c:pt>
                <c:pt idx="187">
                  <c:v>6.9</c:v>
                </c:pt>
                <c:pt idx="188">
                  <c:v>6.9</c:v>
                </c:pt>
                <c:pt idx="189">
                  <c:v>6.9</c:v>
                </c:pt>
                <c:pt idx="190">
                  <c:v>6.7</c:v>
                </c:pt>
                <c:pt idx="191">
                  <c:v>6.5</c:v>
                </c:pt>
                <c:pt idx="192">
                  <c:v>6.4</c:v>
                </c:pt>
                <c:pt idx="193">
                  <c:v>6.3</c:v>
                </c:pt>
                <c:pt idx="194">
                  <c:v>6.3</c:v>
                </c:pt>
                <c:pt idx="195">
                  <c:v>6.3</c:v>
                </c:pt>
                <c:pt idx="196">
                  <c:v>6.1</c:v>
                </c:pt>
                <c:pt idx="197">
                  <c:v>5.9</c:v>
                </c:pt>
                <c:pt idx="198">
                  <c:v>5.4</c:v>
                </c:pt>
                <c:pt idx="199">
                  <c:v>5.4</c:v>
                </c:pt>
                <c:pt idx="200">
                  <c:v>5.3</c:v>
                </c:pt>
                <c:pt idx="201">
                  <c:v>4.7</c:v>
                </c:pt>
                <c:pt idx="202">
                  <c:v>4.0999999999999996</c:v>
                </c:pt>
              </c:numCache>
            </c:numRef>
          </c:cat>
          <c:val>
            <c:numRef>
              <c:f>Kronenansatzhöhe!$F$2:$F$204</c:f>
              <c:numCache>
                <c:formatCode>General</c:formatCode>
                <c:ptCount val="203"/>
                <c:pt idx="0">
                  <c:v>3.2440953442333966</c:v>
                </c:pt>
                <c:pt idx="1">
                  <c:v>3.3658472657217806</c:v>
                </c:pt>
                <c:pt idx="2">
                  <c:v>3.3248239127763539</c:v>
                </c:pt>
                <c:pt idx="3">
                  <c:v>3.3423098722551927</c:v>
                </c:pt>
                <c:pt idx="4">
                  <c:v>3.3856026041419343</c:v>
                </c:pt>
                <c:pt idx="5">
                  <c:v>3.3620834078934192</c:v>
                </c:pt>
                <c:pt idx="6">
                  <c:v>3.3902005861161486</c:v>
                </c:pt>
                <c:pt idx="7">
                  <c:v>3.3761789807576732</c:v>
                </c:pt>
                <c:pt idx="8">
                  <c:v>3.3718227366192286</c:v>
                </c:pt>
                <c:pt idx="9">
                  <c:v>3.3718227366192286</c:v>
                </c:pt>
                <c:pt idx="10">
                  <c:v>3.3677159031129849</c:v>
                </c:pt>
                <c:pt idx="11">
                  <c:v>3.3774913436458651</c:v>
                </c:pt>
                <c:pt idx="12">
                  <c:v>3.3638683574993777</c:v>
                </c:pt>
                <c:pt idx="13">
                  <c:v>3.3955621810153374</c:v>
                </c:pt>
                <c:pt idx="14">
                  <c:v>3.414913438090438</c:v>
                </c:pt>
                <c:pt idx="15">
                  <c:v>3.4355007073559403</c:v>
                </c:pt>
                <c:pt idx="16">
                  <c:v>3.413436457713765</c:v>
                </c:pt>
                <c:pt idx="17">
                  <c:v>3.4025095961945695</c:v>
                </c:pt>
                <c:pt idx="18">
                  <c:v>3.4012342642359541</c:v>
                </c:pt>
                <c:pt idx="19">
                  <c:v>3.4343196851904612</c:v>
                </c:pt>
                <c:pt idx="20">
                  <c:v>3.4343327679097952</c:v>
                </c:pt>
                <c:pt idx="21">
                  <c:v>3.4343327679097952</c:v>
                </c:pt>
                <c:pt idx="22">
                  <c:v>3.4343327679097952</c:v>
                </c:pt>
                <c:pt idx="23">
                  <c:v>3.4230073876436715</c:v>
                </c:pt>
                <c:pt idx="24">
                  <c:v>3.4000334611048331</c:v>
                </c:pt>
                <c:pt idx="25">
                  <c:v>3.4237025798206226</c:v>
                </c:pt>
                <c:pt idx="26">
                  <c:v>3.4237025798206226</c:v>
                </c:pt>
                <c:pt idx="27">
                  <c:v>3.4127867656011315</c:v>
                </c:pt>
                <c:pt idx="28">
                  <c:v>3.4248576925849816</c:v>
                </c:pt>
                <c:pt idx="29">
                  <c:v>3.4388556416474034</c:v>
                </c:pt>
                <c:pt idx="30">
                  <c:v>3.4264944719267891</c:v>
                </c:pt>
                <c:pt idx="31">
                  <c:v>3.4388556416474034</c:v>
                </c:pt>
                <c:pt idx="32">
                  <c:v>3.4388556416474034</c:v>
                </c:pt>
                <c:pt idx="33">
                  <c:v>3.4286360229620096</c:v>
                </c:pt>
                <c:pt idx="34">
                  <c:v>3.4161496205607067</c:v>
                </c:pt>
                <c:pt idx="35">
                  <c:v>3.4441058395557542</c:v>
                </c:pt>
                <c:pt idx="36">
                  <c:v>3.4186001684181901</c:v>
                </c:pt>
                <c:pt idx="37">
                  <c:v>3.3934596693809782</c:v>
                </c:pt>
                <c:pt idx="38">
                  <c:v>3.4441058395557542</c:v>
                </c:pt>
                <c:pt idx="39">
                  <c:v>3.4087552984786638</c:v>
                </c:pt>
                <c:pt idx="40">
                  <c:v>3.4215971588664744</c:v>
                </c:pt>
                <c:pt idx="41">
                  <c:v>3.4251679187308728</c:v>
                </c:pt>
                <c:pt idx="42">
                  <c:v>3.412090236056792</c:v>
                </c:pt>
                <c:pt idx="43">
                  <c:v>3.412090236056792</c:v>
                </c:pt>
                <c:pt idx="44">
                  <c:v>3.3862232956173135</c:v>
                </c:pt>
                <c:pt idx="45">
                  <c:v>3.3862232956173135</c:v>
                </c:pt>
                <c:pt idx="46">
                  <c:v>3.4027943418642024</c:v>
                </c:pt>
                <c:pt idx="47">
                  <c:v>3.4027943418642024</c:v>
                </c:pt>
                <c:pt idx="48">
                  <c:v>3.4341492135243099</c:v>
                </c:pt>
                <c:pt idx="49">
                  <c:v>3.3804446187960626</c:v>
                </c:pt>
                <c:pt idx="50">
                  <c:v>3.4070926872595977</c:v>
                </c:pt>
                <c:pt idx="51">
                  <c:v>3.4341492135243099</c:v>
                </c:pt>
                <c:pt idx="52">
                  <c:v>3.4205693736091036</c:v>
                </c:pt>
                <c:pt idx="53">
                  <c:v>3.4205693736091036</c:v>
                </c:pt>
                <c:pt idx="54">
                  <c:v>3.3984010096077952</c:v>
                </c:pt>
                <c:pt idx="55">
                  <c:v>3.3848706534136781</c:v>
                </c:pt>
                <c:pt idx="56">
                  <c:v>3.3984010096077952</c:v>
                </c:pt>
                <c:pt idx="57">
                  <c:v>3.3762615737724877</c:v>
                </c:pt>
                <c:pt idx="58">
                  <c:v>3.3899529125253025</c:v>
                </c:pt>
                <c:pt idx="59">
                  <c:v>3.3817587927283537</c:v>
                </c:pt>
                <c:pt idx="60">
                  <c:v>3.4098051804387719</c:v>
                </c:pt>
                <c:pt idx="61">
                  <c:v>3.3879722739108029</c:v>
                </c:pt>
                <c:pt idx="62">
                  <c:v>3.3738296367552651</c:v>
                </c:pt>
                <c:pt idx="63">
                  <c:v>3.4095002102594689</c:v>
                </c:pt>
                <c:pt idx="64">
                  <c:v>3.3805007957690454</c:v>
                </c:pt>
                <c:pt idx="65">
                  <c:v>3.3949414224974523</c:v>
                </c:pt>
                <c:pt idx="66">
                  <c:v>3.3661770626171643</c:v>
                </c:pt>
                <c:pt idx="67">
                  <c:v>3.3949414224974523</c:v>
                </c:pt>
                <c:pt idx="68">
                  <c:v>3.3661770626171643</c:v>
                </c:pt>
                <c:pt idx="69">
                  <c:v>3.3879558995753358</c:v>
                </c:pt>
                <c:pt idx="70">
                  <c:v>3.4027084918642134</c:v>
                </c:pt>
                <c:pt idx="71">
                  <c:v>3.3733246295796691</c:v>
                </c:pt>
                <c:pt idx="72">
                  <c:v>3.358813364956049</c:v>
                </c:pt>
                <c:pt idx="73">
                  <c:v>3.4027084918642134</c:v>
                </c:pt>
                <c:pt idx="74">
                  <c:v>3.381285942508125</c:v>
                </c:pt>
                <c:pt idx="75">
                  <c:v>3.3517515640514484</c:v>
                </c:pt>
                <c:pt idx="76">
                  <c:v>3.3517515640514484</c:v>
                </c:pt>
                <c:pt idx="77">
                  <c:v>3.3385896858684454</c:v>
                </c:pt>
                <c:pt idx="78">
                  <c:v>3.3689516553209775</c:v>
                </c:pt>
                <c:pt idx="79">
                  <c:v>3.3385896858684454</c:v>
                </c:pt>
                <c:pt idx="80">
                  <c:v>3.3325197801471611</c:v>
                </c:pt>
                <c:pt idx="81">
                  <c:v>3.3173194923344047</c:v>
                </c:pt>
                <c:pt idx="82">
                  <c:v>3.3325197801471611</c:v>
                </c:pt>
                <c:pt idx="83">
                  <c:v>3.3173194923344047</c:v>
                </c:pt>
                <c:pt idx="84">
                  <c:v>3.3173194923344047</c:v>
                </c:pt>
                <c:pt idx="85">
                  <c:v>3.3633190682924305</c:v>
                </c:pt>
                <c:pt idx="86">
                  <c:v>3.3268122459247138</c:v>
                </c:pt>
                <c:pt idx="87">
                  <c:v>3.3268122459247138</c:v>
                </c:pt>
                <c:pt idx="88">
                  <c:v>3.3058331520311834</c:v>
                </c:pt>
                <c:pt idx="89">
                  <c:v>3.3325904962305644</c:v>
                </c:pt>
                <c:pt idx="90">
                  <c:v>3.3006651547186352</c:v>
                </c:pt>
                <c:pt idx="91">
                  <c:v>3.3006651547186352</c:v>
                </c:pt>
                <c:pt idx="92">
                  <c:v>3.3165556059514012</c:v>
                </c:pt>
                <c:pt idx="93">
                  <c:v>3.3283329249979325</c:v>
                </c:pt>
                <c:pt idx="94">
                  <c:v>3.275330366878189</c:v>
                </c:pt>
                <c:pt idx="95">
                  <c:v>3.275330366878189</c:v>
                </c:pt>
                <c:pt idx="96">
                  <c:v>3.275330366878189</c:v>
                </c:pt>
                <c:pt idx="97">
                  <c:v>3.3043656085872848</c:v>
                </c:pt>
                <c:pt idx="98">
                  <c:v>3.3043656085872848</c:v>
                </c:pt>
                <c:pt idx="99">
                  <c:v>3.2548314291743838</c:v>
                </c:pt>
                <c:pt idx="100">
                  <c:v>3.3043656085872848</c:v>
                </c:pt>
                <c:pt idx="101">
                  <c:v>3.3043656085872848</c:v>
                </c:pt>
                <c:pt idx="102">
                  <c:v>3.2711876870465137</c:v>
                </c:pt>
                <c:pt idx="103">
                  <c:v>3.2842954980589099</c:v>
                </c:pt>
                <c:pt idx="104">
                  <c:v>3.2675089586420034</c:v>
                </c:pt>
                <c:pt idx="105">
                  <c:v>3.2508818589507982</c:v>
                </c:pt>
                <c:pt idx="106">
                  <c:v>3.2842954980589099</c:v>
                </c:pt>
                <c:pt idx="107">
                  <c:v>3.2306622743321078</c:v>
                </c:pt>
                <c:pt idx="108">
                  <c:v>3.247409173119288</c:v>
                </c:pt>
                <c:pt idx="109">
                  <c:v>3.281392763232915</c:v>
                </c:pt>
                <c:pt idx="110">
                  <c:v>3.281392763232915</c:v>
                </c:pt>
                <c:pt idx="111">
                  <c:v>3.2643186489665443</c:v>
                </c:pt>
                <c:pt idx="112">
                  <c:v>3.244438841470588</c:v>
                </c:pt>
                <c:pt idx="113">
                  <c:v>3.2616429280234005</c:v>
                </c:pt>
                <c:pt idx="114">
                  <c:v>3.2074933844550966</c:v>
                </c:pt>
                <c:pt idx="115">
                  <c:v>3.2246600609048315</c:v>
                </c:pt>
                <c:pt idx="116">
                  <c:v>3.2401162482647319</c:v>
                </c:pt>
                <c:pt idx="117">
                  <c:v>3.2401162482647319</c:v>
                </c:pt>
                <c:pt idx="118">
                  <c:v>3.2401162482647319</c:v>
                </c:pt>
                <c:pt idx="119">
                  <c:v>3.2030414309572648</c:v>
                </c:pt>
                <c:pt idx="120">
                  <c:v>3.2030414309572648</c:v>
                </c:pt>
                <c:pt idx="121">
                  <c:v>3.2208412615352078</c:v>
                </c:pt>
                <c:pt idx="122">
                  <c:v>3.2208412615352078</c:v>
                </c:pt>
                <c:pt idx="123">
                  <c:v>3.1854226327433208</c:v>
                </c:pt>
                <c:pt idx="124">
                  <c:v>3.2030414309572648</c:v>
                </c:pt>
                <c:pt idx="125">
                  <c:v>3.1854226327433208</c:v>
                </c:pt>
                <c:pt idx="126">
                  <c:v>3.1837390614176408</c:v>
                </c:pt>
                <c:pt idx="127">
                  <c:v>3.1826677554228171</c:v>
                </c:pt>
                <c:pt idx="128">
                  <c:v>3.1466429110723837</c:v>
                </c:pt>
                <c:pt idx="129">
                  <c:v>3.1455121830728485</c:v>
                </c:pt>
                <c:pt idx="130">
                  <c:v>3.1083617487052324</c:v>
                </c:pt>
                <c:pt idx="131">
                  <c:v>3.1083617487052324</c:v>
                </c:pt>
                <c:pt idx="132">
                  <c:v>3.1450338268827371</c:v>
                </c:pt>
                <c:pt idx="133">
                  <c:v>3.1265989532168943</c:v>
                </c:pt>
                <c:pt idx="134">
                  <c:v>3.0894222277695595</c:v>
                </c:pt>
                <c:pt idx="135">
                  <c:v>3.1078272783581675</c:v>
                </c:pt>
                <c:pt idx="136">
                  <c:v>3.1078272783581675</c:v>
                </c:pt>
                <c:pt idx="137">
                  <c:v>3.089203680191281</c:v>
                </c:pt>
                <c:pt idx="138">
                  <c:v>3.070624950112105</c:v>
                </c:pt>
                <c:pt idx="139">
                  <c:v>3.089203680191281</c:v>
                </c:pt>
                <c:pt idx="140">
                  <c:v>3.070624950112105</c:v>
                </c:pt>
                <c:pt idx="141">
                  <c:v>3.107989442304643</c:v>
                </c:pt>
                <c:pt idx="142">
                  <c:v>3.107989442304643</c:v>
                </c:pt>
                <c:pt idx="143">
                  <c:v>3.107989442304643</c:v>
                </c:pt>
                <c:pt idx="144">
                  <c:v>3.107989442304643</c:v>
                </c:pt>
                <c:pt idx="145">
                  <c:v>3.0707350820788877</c:v>
                </c:pt>
                <c:pt idx="146">
                  <c:v>3.0524288400173623</c:v>
                </c:pt>
                <c:pt idx="147">
                  <c:v>3.0342927764655578</c:v>
                </c:pt>
                <c:pt idx="148">
                  <c:v>3.0536532565041554</c:v>
                </c:pt>
                <c:pt idx="149">
                  <c:v>3.0151549157561033</c:v>
                </c:pt>
                <c:pt idx="150">
                  <c:v>2.9969971443792223</c:v>
                </c:pt>
                <c:pt idx="151">
                  <c:v>3.0163352173444138</c:v>
                </c:pt>
                <c:pt idx="152">
                  <c:v>3.0163352173444138</c:v>
                </c:pt>
                <c:pt idx="153">
                  <c:v>2.9790192005073597</c:v>
                </c:pt>
                <c:pt idx="154">
                  <c:v>2.9597040337759317</c:v>
                </c:pt>
                <c:pt idx="155">
                  <c:v>2.9985650325526976</c:v>
                </c:pt>
                <c:pt idx="156">
                  <c:v>2.9597040337759317</c:v>
                </c:pt>
                <c:pt idx="157">
                  <c:v>2.9985650325526976</c:v>
                </c:pt>
                <c:pt idx="158">
                  <c:v>2.9790192005073597</c:v>
                </c:pt>
                <c:pt idx="159">
                  <c:v>2.9985650325526976</c:v>
                </c:pt>
                <c:pt idx="160">
                  <c:v>2.9597040337759317</c:v>
                </c:pt>
                <c:pt idx="161">
                  <c:v>2.9612301245042385</c:v>
                </c:pt>
                <c:pt idx="162">
                  <c:v>2.9612301245042385</c:v>
                </c:pt>
                <c:pt idx="163">
                  <c:v>2.9238969002974677</c:v>
                </c:pt>
                <c:pt idx="164">
                  <c:v>2.926257822882707</c:v>
                </c:pt>
                <c:pt idx="165">
                  <c:v>2.926257822882707</c:v>
                </c:pt>
                <c:pt idx="166">
                  <c:v>2.9062887481691213</c:v>
                </c:pt>
                <c:pt idx="167">
                  <c:v>2.8888913408425205</c:v>
                </c:pt>
                <c:pt idx="168">
                  <c:v>2.8689392812876777</c:v>
                </c:pt>
                <c:pt idx="169">
                  <c:v>2.8689392812876777</c:v>
                </c:pt>
                <c:pt idx="170">
                  <c:v>2.8888913408425205</c:v>
                </c:pt>
                <c:pt idx="171">
                  <c:v>2.796957992125964</c:v>
                </c:pt>
                <c:pt idx="172">
                  <c:v>2.8380802617451479</c:v>
                </c:pt>
                <c:pt idx="173">
                  <c:v>2.7799936927448083</c:v>
                </c:pt>
                <c:pt idx="174">
                  <c:v>2.7799936927448083</c:v>
                </c:pt>
                <c:pt idx="175">
                  <c:v>2.8006810532920179</c:v>
                </c:pt>
                <c:pt idx="176">
                  <c:v>2.8006810532920179</c:v>
                </c:pt>
                <c:pt idx="177">
                  <c:v>2.7426038713789582</c:v>
                </c:pt>
                <c:pt idx="178">
                  <c:v>2.7468376154314136</c:v>
                </c:pt>
                <c:pt idx="179">
                  <c:v>2.7094330950982588</c:v>
                </c:pt>
                <c:pt idx="180">
                  <c:v>2.7094330950982588</c:v>
                </c:pt>
                <c:pt idx="181">
                  <c:v>2.7094330950982588</c:v>
                </c:pt>
                <c:pt idx="182">
                  <c:v>2.7094330950982588</c:v>
                </c:pt>
                <c:pt idx="183">
                  <c:v>2.7094330950982588</c:v>
                </c:pt>
                <c:pt idx="184">
                  <c:v>2.6932696149273432</c:v>
                </c:pt>
                <c:pt idx="185">
                  <c:v>2.672028630049418</c:v>
                </c:pt>
                <c:pt idx="186">
                  <c:v>2.5972198752241731</c:v>
                </c:pt>
                <c:pt idx="187">
                  <c:v>2.5810500476387039</c:v>
                </c:pt>
                <c:pt idx="188">
                  <c:v>2.5598155904966857</c:v>
                </c:pt>
                <c:pt idx="189">
                  <c:v>2.5598155904966857</c:v>
                </c:pt>
                <c:pt idx="190">
                  <c:v>2.5062370027796108</c:v>
                </c:pt>
                <c:pt idx="191">
                  <c:v>2.4529854602410266</c:v>
                </c:pt>
                <c:pt idx="192">
                  <c:v>2.3940174354909716</c:v>
                </c:pt>
                <c:pt idx="193">
                  <c:v>2.4000992636309415</c:v>
                </c:pt>
                <c:pt idx="194">
                  <c:v>2.3781778312854032</c:v>
                </c:pt>
                <c:pt idx="195">
                  <c:v>2.3781778312854032</c:v>
                </c:pt>
                <c:pt idx="196">
                  <c:v>2.3033705599655079</c:v>
                </c:pt>
                <c:pt idx="197">
                  <c:v>2.2285636829148214</c:v>
                </c:pt>
                <c:pt idx="198">
                  <c:v>2.0635598102761992</c:v>
                </c:pt>
                <c:pt idx="199">
                  <c:v>2.0635598102761992</c:v>
                </c:pt>
                <c:pt idx="200">
                  <c:v>2.026169078202734</c:v>
                </c:pt>
                <c:pt idx="201">
                  <c:v>1.7581065541886822</c:v>
                </c:pt>
                <c:pt idx="202">
                  <c:v>1.5125394760254309</c:v>
                </c:pt>
              </c:numCache>
            </c:numRef>
          </c:val>
          <c:smooth val="0"/>
        </c:ser>
        <c:dLbls>
          <c:showLegendKey val="0"/>
          <c:showVal val="0"/>
          <c:showCatName val="0"/>
          <c:showSerName val="0"/>
          <c:showPercent val="0"/>
          <c:showBubbleSize val="0"/>
        </c:dLbls>
        <c:marker val="1"/>
        <c:smooth val="0"/>
        <c:axId val="254999552"/>
        <c:axId val="256444672"/>
      </c:lineChart>
      <c:catAx>
        <c:axId val="25499955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de-DE"/>
          </a:p>
        </c:txPr>
        <c:crossAx val="256444672"/>
        <c:crosses val="autoZero"/>
        <c:auto val="1"/>
        <c:lblAlgn val="ctr"/>
        <c:lblOffset val="100"/>
        <c:tickLblSkip val="11"/>
        <c:tickMarkSkip val="1"/>
        <c:noMultiLvlLbl val="0"/>
      </c:catAx>
      <c:valAx>
        <c:axId val="256444672"/>
        <c:scaling>
          <c:orientation val="minMax"/>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999552"/>
        <c:crosses val="autoZero"/>
        <c:crossBetween val="between"/>
      </c:valAx>
      <c:spPr>
        <a:noFill/>
        <a:ln w="12700">
          <a:solidFill>
            <a:srgbClr val="808080"/>
          </a:solidFill>
          <a:prstDash val="solid"/>
        </a:ln>
      </c:spPr>
    </c:plotArea>
    <c:legend>
      <c:legendPos val="r"/>
      <c:layout>
        <c:manualLayout>
          <c:xMode val="edge"/>
          <c:yMode val="edge"/>
          <c:x val="0.7851379375898766"/>
          <c:y val="0.41687395422266865"/>
          <c:w val="0.20193876995624396"/>
          <c:h val="0.1066998811403259"/>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t>SLA on PACL
</a:t>
            </a:r>
          </a:p>
        </c:rich>
      </c:tx>
      <c:layout>
        <c:manualLayout>
          <c:xMode val="edge"/>
          <c:yMode val="edge"/>
          <c:x val="0.42003264150898745"/>
          <c:y val="5.4590636862492319E-2"/>
        </c:manualLayout>
      </c:layout>
      <c:overlay val="0"/>
      <c:spPr>
        <a:noFill/>
        <a:ln w="25400">
          <a:noFill/>
        </a:ln>
      </c:spPr>
    </c:title>
    <c:autoTitleDeleted val="0"/>
    <c:plotArea>
      <c:layout>
        <c:manualLayout>
          <c:layoutTarget val="inner"/>
          <c:xMode val="edge"/>
          <c:yMode val="edge"/>
          <c:x val="9.6930609578997101E-2"/>
          <c:y val="0.16377191058747698"/>
          <c:w val="0.87237548621097394"/>
          <c:h val="0.66749460527320159"/>
        </c:manualLayout>
      </c:layout>
      <c:lineChart>
        <c:grouping val="standard"/>
        <c:varyColors val="0"/>
        <c:ser>
          <c:idx val="0"/>
          <c:order val="0"/>
          <c:tx>
            <c:v>SLA on PACL</c:v>
          </c:tx>
          <c:spPr>
            <a:ln w="12700">
              <a:solidFill>
                <a:srgbClr val="000080"/>
              </a:solidFill>
              <a:prstDash val="solid"/>
            </a:ln>
          </c:spPr>
          <c:marker>
            <c:symbol val="none"/>
          </c:marker>
          <c:trendline>
            <c:spPr>
              <a:ln w="25400">
                <a:solidFill>
                  <a:srgbClr val="000000"/>
                </a:solidFill>
                <a:prstDash val="solid"/>
              </a:ln>
            </c:spPr>
            <c:trendlineType val="linear"/>
            <c:dispRSqr val="0"/>
            <c:dispEq val="0"/>
          </c:trendline>
          <c:cat>
            <c:numRef>
              <c:f>psla_a!$B$6:$B$17</c:f>
              <c:numCache>
                <c:formatCode>General</c:formatCode>
                <c:ptCount val="12"/>
                <c:pt idx="0">
                  <c:v>0</c:v>
                </c:pt>
                <c:pt idx="1">
                  <c:v>10</c:v>
                </c:pt>
                <c:pt idx="2">
                  <c:v>20</c:v>
                </c:pt>
                <c:pt idx="3">
                  <c:v>30</c:v>
                </c:pt>
                <c:pt idx="4">
                  <c:v>40</c:v>
                </c:pt>
                <c:pt idx="5">
                  <c:v>50</c:v>
                </c:pt>
                <c:pt idx="6">
                  <c:v>60</c:v>
                </c:pt>
                <c:pt idx="7">
                  <c:v>70</c:v>
                </c:pt>
                <c:pt idx="8">
                  <c:v>80</c:v>
                </c:pt>
                <c:pt idx="9">
                  <c:v>90</c:v>
                </c:pt>
                <c:pt idx="10">
                  <c:v>100</c:v>
                </c:pt>
              </c:numCache>
            </c:numRef>
          </c:cat>
          <c:val>
            <c:numRef>
              <c:f>psla_a!$C$6:$C$16</c:f>
              <c:numCache>
                <c:formatCode>General</c:formatCode>
                <c:ptCount val="11"/>
                <c:pt idx="0">
                  <c:v>43.1</c:v>
                </c:pt>
                <c:pt idx="1">
                  <c:v>42.17</c:v>
                </c:pt>
                <c:pt idx="2">
                  <c:v>41.24</c:v>
                </c:pt>
                <c:pt idx="3">
                  <c:v>40.31</c:v>
                </c:pt>
                <c:pt idx="4">
                  <c:v>39.380000000000003</c:v>
                </c:pt>
                <c:pt idx="5">
                  <c:v>38.450000000000003</c:v>
                </c:pt>
                <c:pt idx="6">
                  <c:v>37.520000000000003</c:v>
                </c:pt>
                <c:pt idx="7">
                  <c:v>36.590000000000003</c:v>
                </c:pt>
                <c:pt idx="8">
                  <c:v>35.660000000000004</c:v>
                </c:pt>
                <c:pt idx="9">
                  <c:v>34.730000000000004</c:v>
                </c:pt>
                <c:pt idx="10">
                  <c:v>33.799999999999997</c:v>
                </c:pt>
              </c:numCache>
            </c:numRef>
          </c:val>
          <c:smooth val="0"/>
        </c:ser>
        <c:dLbls>
          <c:showLegendKey val="0"/>
          <c:showVal val="0"/>
          <c:showCatName val="0"/>
          <c:showSerName val="0"/>
          <c:showPercent val="0"/>
          <c:showBubbleSize val="0"/>
        </c:dLbls>
        <c:marker val="1"/>
        <c:smooth val="0"/>
        <c:axId val="254582784"/>
        <c:axId val="254257408"/>
      </c:lineChart>
      <c:catAx>
        <c:axId val="254582784"/>
        <c:scaling>
          <c:orientation val="minMax"/>
        </c:scaling>
        <c:delete val="0"/>
        <c:axPos val="b"/>
        <c:title>
          <c:tx>
            <c:rich>
              <a:bodyPr/>
              <a:lstStyle/>
              <a:p>
                <a:pPr>
                  <a:defRPr sz="1000" b="1" i="0" u="none" strike="noStrike" baseline="0">
                    <a:solidFill>
                      <a:srgbClr val="000000"/>
                    </a:solidFill>
                    <a:latin typeface="Arial"/>
                    <a:ea typeface="Arial"/>
                    <a:cs typeface="Arial"/>
                  </a:defRPr>
                </a:pPr>
                <a:r>
                  <a:t>PACL</a:t>
                </a:r>
              </a:p>
            </c:rich>
          </c:tx>
          <c:layout>
            <c:manualLayout>
              <c:xMode val="edge"/>
              <c:yMode val="edge"/>
              <c:x val="0.502423659651135"/>
              <c:y val="0.9081896859850995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257408"/>
        <c:crosses val="autoZero"/>
        <c:auto val="1"/>
        <c:lblAlgn val="ctr"/>
        <c:lblOffset val="100"/>
        <c:tickLblSkip val="1"/>
        <c:tickMarkSkip val="1"/>
        <c:noMultiLvlLbl val="0"/>
      </c:catAx>
      <c:valAx>
        <c:axId val="254257408"/>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t>SLA</a:t>
                </a:r>
              </a:p>
            </c:rich>
          </c:tx>
          <c:layout>
            <c:manualLayout>
              <c:xMode val="edge"/>
              <c:yMode val="edge"/>
              <c:x val="1.7770611756149468E-2"/>
              <c:y val="0.4590576281618672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582784"/>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84615384615385"/>
          <c:y val="0.101562693715465"/>
          <c:w val="0.78514588859416445"/>
          <c:h val="0.62890744954576405"/>
        </c:manualLayout>
      </c:layout>
      <c:scatterChart>
        <c:scatterStyle val="lineMarker"/>
        <c:varyColors val="0"/>
        <c:ser>
          <c:idx val="0"/>
          <c:order val="0"/>
          <c:spPr>
            <a:ln w="28575">
              <a:noFill/>
            </a:ln>
          </c:spPr>
          <c:marker>
            <c:symbol val="square"/>
            <c:size val="5"/>
            <c:spPr>
              <a:noFill/>
              <a:ln>
                <a:solidFill>
                  <a:srgbClr val="000000"/>
                </a:solidFill>
                <a:prstDash val="solid"/>
              </a:ln>
            </c:spPr>
          </c:marker>
          <c:xVal>
            <c:numLit>
              <c:formatCode>General</c:formatCode>
              <c:ptCount val="23"/>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numLit>
          </c:xVal>
          <c:yVal>
            <c:numLit>
              <c:formatCode>General</c:formatCode>
              <c:ptCount val="23"/>
              <c:pt idx="0">
                <c:v>1.7</c:v>
              </c:pt>
              <c:pt idx="1">
                <c:v>1.4</c:v>
              </c:pt>
              <c:pt idx="2">
                <c:v>2.8</c:v>
              </c:pt>
              <c:pt idx="3">
                <c:v>3.5</c:v>
              </c:pt>
              <c:pt idx="4">
                <c:v>3.4</c:v>
              </c:pt>
              <c:pt idx="5">
                <c:v>3.5</c:v>
              </c:pt>
              <c:pt idx="6">
                <c:v>5.3</c:v>
              </c:pt>
              <c:pt idx="7">
                <c:v>4.9000000000000004</c:v>
              </c:pt>
              <c:pt idx="8">
                <c:v>3.2</c:v>
              </c:pt>
              <c:pt idx="9">
                <c:v>3.3</c:v>
              </c:pt>
              <c:pt idx="10">
                <c:v>1.3</c:v>
              </c:pt>
              <c:pt idx="11">
                <c:v>3</c:v>
              </c:pt>
              <c:pt idx="12">
                <c:v>2.6</c:v>
              </c:pt>
              <c:pt idx="13">
                <c:v>1.4</c:v>
              </c:pt>
              <c:pt idx="14">
                <c:v>1.5</c:v>
              </c:pt>
              <c:pt idx="15">
                <c:v>1.5</c:v>
              </c:pt>
              <c:pt idx="16">
                <c:v>1.2</c:v>
              </c:pt>
              <c:pt idx="17">
                <c:v>1</c:v>
              </c:pt>
              <c:pt idx="18">
                <c:v>2.1</c:v>
              </c:pt>
              <c:pt idx="19">
                <c:v>2.4</c:v>
              </c:pt>
              <c:pt idx="20">
                <c:v>1.4</c:v>
              </c:pt>
              <c:pt idx="21">
                <c:v>2</c:v>
              </c:pt>
              <c:pt idx="22">
                <c:v>1.6</c:v>
              </c:pt>
            </c:numLit>
          </c:yVal>
          <c:smooth val="0"/>
        </c:ser>
        <c:dLbls>
          <c:showLegendKey val="0"/>
          <c:showVal val="0"/>
          <c:showCatName val="0"/>
          <c:showSerName val="0"/>
          <c:showPercent val="0"/>
          <c:showBubbleSize val="0"/>
        </c:dLbls>
        <c:axId val="255027456"/>
        <c:axId val="255028032"/>
      </c:scatterChart>
      <c:valAx>
        <c:axId val="255027456"/>
        <c:scaling>
          <c:orientation val="minMax"/>
        </c:scaling>
        <c:delete val="0"/>
        <c:axPos val="b"/>
        <c:title>
          <c:tx>
            <c:rich>
              <a:bodyPr/>
              <a:lstStyle/>
              <a:p>
                <a:pPr>
                  <a:defRPr sz="1000" b="0" i="0" u="none" strike="noStrike" baseline="0">
                    <a:solidFill>
                      <a:srgbClr val="000000"/>
                    </a:solidFill>
                    <a:latin typeface="Arial"/>
                    <a:ea typeface="Arial"/>
                    <a:cs typeface="Arial"/>
                  </a:defRPr>
                </a:pPr>
                <a:r>
                  <a:t>dbh (cm)</a:t>
                </a:r>
              </a:p>
            </c:rich>
          </c:tx>
          <c:layout>
            <c:manualLayout>
              <c:xMode val="edge"/>
              <c:yMode val="edge"/>
              <c:x val="0.47480106100795755"/>
              <c:y val="0.8515641242296681"/>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28032"/>
        <c:crosses val="autoZero"/>
        <c:crossBetween val="midCat"/>
      </c:valAx>
      <c:valAx>
        <c:axId val="255028032"/>
        <c:scaling>
          <c:orientation val="minMax"/>
          <c:max val="6"/>
          <c:min val="0"/>
        </c:scaling>
        <c:delete val="0"/>
        <c:axPos val="l"/>
        <c:title>
          <c:tx>
            <c:rich>
              <a:bodyPr/>
              <a:lstStyle/>
              <a:p>
                <a:pPr>
                  <a:defRPr sz="1000" b="0" i="0" u="none" strike="noStrike" baseline="0">
                    <a:solidFill>
                      <a:srgbClr val="000000"/>
                    </a:solidFill>
                    <a:latin typeface="Arial"/>
                    <a:ea typeface="Arial"/>
                    <a:cs typeface="Arial"/>
                  </a:defRPr>
                </a:pPr>
                <a:r>
                  <a:t>maximum crown radius (m)</a:t>
                </a:r>
              </a:p>
            </c:rich>
          </c:tx>
          <c:layout>
            <c:manualLayout>
              <c:xMode val="edge"/>
              <c:yMode val="edge"/>
              <c:x val="4.2440318302387266E-2"/>
              <c:y val="0.10156269371546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27456"/>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352112676056338"/>
          <c:y val="0.12149560431787639"/>
          <c:w val="0.66549295774647887"/>
          <c:h val="0.5560760351472035"/>
        </c:manualLayout>
      </c:layout>
      <c:scatterChart>
        <c:scatterStyle val="lineMarker"/>
        <c:varyColors val="0"/>
        <c:ser>
          <c:idx val="0"/>
          <c:order val="0"/>
          <c:spPr>
            <a:ln w="28575">
              <a:noFill/>
            </a:ln>
          </c:spPr>
          <c:marker>
            <c:symbol val="square"/>
            <c:size val="5"/>
            <c:spPr>
              <a:noFill/>
              <a:ln>
                <a:solidFill>
                  <a:srgbClr val="000000"/>
                </a:solidFill>
                <a:prstDash val="solid"/>
              </a:ln>
            </c:spPr>
          </c:marker>
          <c:xVal>
            <c:numLit>
              <c:formatCode>General</c:formatCode>
              <c:ptCount val="23"/>
              <c:pt idx="0">
                <c:v>10.3</c:v>
              </c:pt>
              <c:pt idx="1">
                <c:v>9.9</c:v>
              </c:pt>
              <c:pt idx="2">
                <c:v>23.4</c:v>
              </c:pt>
              <c:pt idx="3">
                <c:v>20.9</c:v>
              </c:pt>
              <c:pt idx="4">
                <c:v>23.2</c:v>
              </c:pt>
              <c:pt idx="5">
                <c:v>24</c:v>
              </c:pt>
              <c:pt idx="6">
                <c:v>37.799999999999997</c:v>
              </c:pt>
              <c:pt idx="7">
                <c:v>38.200000000000003</c:v>
              </c:pt>
              <c:pt idx="8">
                <c:v>26.6</c:v>
              </c:pt>
              <c:pt idx="9">
                <c:v>25.5</c:v>
              </c:pt>
              <c:pt idx="10">
                <c:v>8</c:v>
              </c:pt>
              <c:pt idx="11">
                <c:v>19.8</c:v>
              </c:pt>
              <c:pt idx="12">
                <c:v>20.5</c:v>
              </c:pt>
              <c:pt idx="13">
                <c:v>8.8000000000000007</c:v>
              </c:pt>
              <c:pt idx="14">
                <c:v>8.9</c:v>
              </c:pt>
              <c:pt idx="15">
                <c:v>5.9</c:v>
              </c:pt>
              <c:pt idx="16">
                <c:v>4.2</c:v>
              </c:pt>
              <c:pt idx="17">
                <c:v>5.0999999999999996</c:v>
              </c:pt>
              <c:pt idx="18">
                <c:v>16.3</c:v>
              </c:pt>
              <c:pt idx="19">
                <c:v>17.600000000000001</c:v>
              </c:pt>
              <c:pt idx="20">
                <c:v>12.2</c:v>
              </c:pt>
              <c:pt idx="21">
                <c:v>10.5</c:v>
              </c:pt>
              <c:pt idx="22">
                <c:v>11.9</c:v>
              </c:pt>
            </c:numLit>
          </c:xVal>
          <c:yVal>
            <c:numLit>
              <c:formatCode>General</c:formatCode>
              <c:ptCount val="23"/>
              <c:pt idx="0">
                <c:v>13.962150000000001</c:v>
              </c:pt>
              <c:pt idx="1">
                <c:v>13.74615</c:v>
              </c:pt>
              <c:pt idx="2">
                <c:v>157.57919999999999</c:v>
              </c:pt>
              <c:pt idx="3">
                <c:v>105.21</c:v>
              </c:pt>
              <c:pt idx="4">
                <c:v>126.93375</c:v>
              </c:pt>
              <c:pt idx="5">
                <c:v>139.10175000000001</c:v>
              </c:pt>
              <c:pt idx="6">
                <c:v>536.23800000000006</c:v>
              </c:pt>
              <c:pt idx="7">
                <c:v>563.35950000000003</c:v>
              </c:pt>
              <c:pt idx="8">
                <c:v>212.84460000000001</c:v>
              </c:pt>
              <c:pt idx="9">
                <c:v>197.80380000000002</c:v>
              </c:pt>
              <c:pt idx="10">
                <c:v>7.3210499999999996</c:v>
              </c:pt>
              <c:pt idx="11">
                <c:v>136.44945000000001</c:v>
              </c:pt>
              <c:pt idx="12">
                <c:v>121.45365</c:v>
              </c:pt>
              <c:pt idx="13">
                <c:v>13.9077</c:v>
              </c:pt>
              <c:pt idx="14">
                <c:v>15.704100000000002</c:v>
              </c:pt>
              <c:pt idx="15">
                <c:v>3.7435500000000004</c:v>
              </c:pt>
              <c:pt idx="16">
                <c:v>2.0295000000000001</c:v>
              </c:pt>
              <c:pt idx="17">
                <c:v>2.6406000000000001</c:v>
              </c:pt>
              <c:pt idx="18">
                <c:v>65.938050000000004</c:v>
              </c:pt>
              <c:pt idx="19">
                <c:v>88.591500000000011</c:v>
              </c:pt>
              <c:pt idx="20">
                <c:v>31.828949999999999</c:v>
              </c:pt>
              <c:pt idx="21">
                <c:v>21.000599999999999</c:v>
              </c:pt>
              <c:pt idx="22">
                <c:v>36.269100000000002</c:v>
              </c:pt>
            </c:numLit>
          </c:yVal>
          <c:smooth val="0"/>
        </c:ser>
        <c:dLbls>
          <c:showLegendKey val="0"/>
          <c:showVal val="0"/>
          <c:showCatName val="0"/>
          <c:showSerName val="0"/>
          <c:showPercent val="0"/>
          <c:showBubbleSize val="0"/>
        </c:dLbls>
        <c:axId val="255029760"/>
        <c:axId val="255030336"/>
      </c:scatterChart>
      <c:valAx>
        <c:axId val="255029760"/>
        <c:scaling>
          <c:orientation val="minMax"/>
        </c:scaling>
        <c:delete val="0"/>
        <c:axPos val="b"/>
        <c:title>
          <c:tx>
            <c:rich>
              <a:bodyPr/>
              <a:lstStyle/>
              <a:p>
                <a:pPr>
                  <a:defRPr sz="1000" b="0" i="0" u="none" strike="noStrike" baseline="0">
                    <a:solidFill>
                      <a:srgbClr val="000000"/>
                    </a:solidFill>
                    <a:latin typeface="Arial"/>
                    <a:ea typeface="Arial"/>
                    <a:cs typeface="Arial"/>
                  </a:defRPr>
                </a:pPr>
                <a:r>
                  <a:t>dbh (cm)</a:t>
                </a:r>
              </a:p>
            </c:rich>
          </c:tx>
          <c:layout>
            <c:manualLayout>
              <c:xMode val="edge"/>
              <c:yMode val="edge"/>
              <c:x val="0.48943661971830987"/>
              <c:y val="0.82243178307485554"/>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30336"/>
        <c:crosses val="autoZero"/>
        <c:crossBetween val="midCat"/>
      </c:valAx>
      <c:valAx>
        <c:axId val="255030336"/>
        <c:scaling>
          <c:orientation val="minMax"/>
        </c:scaling>
        <c:delete val="0"/>
        <c:axPos val="l"/>
        <c:title>
          <c:tx>
            <c:rich>
              <a:bodyPr/>
              <a:lstStyle/>
              <a:p>
                <a:pPr>
                  <a:defRPr sz="1000" b="0" i="0" u="none" strike="noStrike" baseline="0">
                    <a:solidFill>
                      <a:srgbClr val="000000"/>
                    </a:solidFill>
                    <a:latin typeface="Arial"/>
                    <a:ea typeface="Arial"/>
                    <a:cs typeface="Arial"/>
                  </a:defRPr>
                </a:pPr>
                <a:r>
                  <a:t>stem biomass (kg)</a:t>
                </a:r>
              </a:p>
            </c:rich>
          </c:tx>
          <c:layout>
            <c:manualLayout>
              <c:xMode val="edge"/>
              <c:yMode val="edge"/>
              <c:x val="5.6338028169014086E-2"/>
              <c:y val="0.1355143278930159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29760"/>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971009001817381"/>
          <c:y val="0.11607142857142858"/>
          <c:w val="0.62240790004193958"/>
          <c:h val="0.5"/>
        </c:manualLayout>
      </c:layout>
      <c:scatterChart>
        <c:scatterStyle val="lineMarker"/>
        <c:varyColors val="0"/>
        <c:ser>
          <c:idx val="0"/>
          <c:order val="0"/>
          <c:spPr>
            <a:ln w="28575">
              <a:noFill/>
            </a:ln>
          </c:spPr>
          <c:marker>
            <c:symbol val="none"/>
          </c:marker>
          <c:dLbls>
            <c:dLbl>
              <c:idx val="0"/>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2"/>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3"/>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4"/>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5"/>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6"/>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7"/>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8"/>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9"/>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10"/>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1"/>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12"/>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13"/>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14"/>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15"/>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6"/>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7"/>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8"/>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19"/>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20"/>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21"/>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22"/>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showLegendKey val="0"/>
            <c:showVal val="0"/>
            <c:showCatName val="0"/>
            <c:showSerName val="0"/>
            <c:showPercent val="0"/>
            <c:showBubbleSize val="0"/>
          </c:dLbls>
          <c:trendline>
            <c:spPr>
              <a:ln w="25400">
                <a:solidFill>
                  <a:srgbClr val="000000"/>
                </a:solidFill>
                <a:prstDash val="solid"/>
              </a:ln>
            </c:spPr>
            <c:trendlineType val="linear"/>
            <c:intercept val="0"/>
            <c:dispRSqr val="1"/>
            <c:dispEq val="1"/>
            <c:trendlineLbl>
              <c:layout>
                <c:manualLayout>
                  <c:xMode val="edge"/>
                  <c:yMode val="edge"/>
                  <c:x val="0.38174351202572293"/>
                  <c:y val="0.10714285714285714"/>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Lit>
              <c:formatCode>General</c:formatCode>
              <c:ptCount val="23"/>
              <c:pt idx="0">
                <c:v>73.267141784701536</c:v>
              </c:pt>
              <c:pt idx="1">
                <c:v>74.799813902897426</c:v>
              </c:pt>
              <c:pt idx="2">
                <c:v>226.47741439728816</c:v>
              </c:pt>
              <c:pt idx="3">
                <c:v>230.74074078454095</c:v>
              </c:pt>
              <c:pt idx="4">
                <c:v>296.81</c:v>
              </c:pt>
              <c:pt idx="5">
                <c:v>306.97000000000003</c:v>
              </c:pt>
              <c:pt idx="6">
                <c:v>467.82</c:v>
              </c:pt>
              <c:pt idx="7">
                <c:v>599.35</c:v>
              </c:pt>
              <c:pt idx="8">
                <c:v>285.29391935871467</c:v>
              </c:pt>
              <c:pt idx="9">
                <c:v>237.6752287119273</c:v>
              </c:pt>
              <c:pt idx="10">
                <c:v>44.149199168717587</c:v>
              </c:pt>
              <c:pt idx="11">
                <c:v>178.14597491721767</c:v>
              </c:pt>
              <c:pt idx="12">
                <c:v>157.84146889798521</c:v>
              </c:pt>
              <c:pt idx="13">
                <c:v>37.549019112459611</c:v>
              </c:pt>
              <c:pt idx="14">
                <c:v>42.846905930295662</c:v>
              </c:pt>
              <c:pt idx="15">
                <c:v>22.061834409834322</c:v>
              </c:pt>
              <c:pt idx="16">
                <c:v>11.091835828062921</c:v>
              </c:pt>
              <c:pt idx="17">
                <c:v>16.982271788061329</c:v>
              </c:pt>
              <c:pt idx="18">
                <c:v>102.02076705606794</c:v>
              </c:pt>
              <c:pt idx="19">
                <c:v>102.79438424701439</c:v>
              </c:pt>
              <c:pt idx="20">
                <c:v>55.920349233898321</c:v>
              </c:pt>
              <c:pt idx="21">
                <c:v>56.088966561947665</c:v>
              </c:pt>
              <c:pt idx="22">
                <c:v>57.25699873323034</c:v>
              </c:pt>
            </c:numLit>
          </c:xVal>
          <c:yVal>
            <c:numLit>
              <c:formatCode>General</c:formatCode>
              <c:ptCount val="23"/>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numLit>
          </c:yVal>
          <c:smooth val="0"/>
        </c:ser>
        <c:dLbls>
          <c:showLegendKey val="0"/>
          <c:showVal val="0"/>
          <c:showCatName val="0"/>
          <c:showSerName val="0"/>
          <c:showPercent val="0"/>
          <c:showBubbleSize val="0"/>
        </c:dLbls>
        <c:axId val="255032064"/>
        <c:axId val="255032640"/>
      </c:scatterChart>
      <c:valAx>
        <c:axId val="255032064"/>
        <c:scaling>
          <c:orientation val="minMax"/>
          <c:max val="700"/>
          <c:min val="0"/>
        </c:scaling>
        <c:delete val="0"/>
        <c:axPos val="b"/>
        <c:title>
          <c:tx>
            <c:rich>
              <a:bodyPr/>
              <a:lstStyle/>
              <a:p>
                <a:pPr>
                  <a:defRPr sz="1000" b="0" i="0" u="none" strike="noStrike" baseline="0">
                    <a:solidFill>
                      <a:srgbClr val="000000"/>
                    </a:solidFill>
                    <a:latin typeface="Arial"/>
                    <a:ea typeface="Arial"/>
                    <a:cs typeface="Arial"/>
                  </a:defRPr>
                </a:pPr>
                <a:r>
                  <a:t>sapwood area at breast height (cm2)</a:t>
                </a:r>
              </a:p>
            </c:rich>
          </c:tx>
          <c:layout>
            <c:manualLayout>
              <c:xMode val="edge"/>
              <c:yMode val="edge"/>
              <c:x val="0.21161868601425946"/>
              <c:y val="0.7544642857142857"/>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32640"/>
        <c:crosses val="autoZero"/>
        <c:crossBetween val="midCat"/>
      </c:valAx>
      <c:valAx>
        <c:axId val="255032640"/>
        <c:scaling>
          <c:orientation val="minMax"/>
        </c:scaling>
        <c:delete val="0"/>
        <c:axPos val="l"/>
        <c:title>
          <c:tx>
            <c:rich>
              <a:bodyPr/>
              <a:lstStyle/>
              <a:p>
                <a:pPr>
                  <a:defRPr sz="1000" b="0" i="0" u="none" strike="noStrike" baseline="0">
                    <a:solidFill>
                      <a:srgbClr val="000000"/>
                    </a:solidFill>
                    <a:latin typeface="Arial"/>
                    <a:ea typeface="Arial"/>
                    <a:cs typeface="Arial"/>
                  </a:defRPr>
                </a:pPr>
                <a:r>
                  <a:t>tree needle mass (kg DM)</a:t>
                </a:r>
              </a:p>
            </c:rich>
          </c:tx>
          <c:layout>
            <c:manualLayout>
              <c:xMode val="edge"/>
              <c:yMode val="edge"/>
              <c:x val="6.6390176004473556E-2"/>
              <c:y val="2.2321428571428572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5032064"/>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92439510954107"/>
          <c:y val="8.3067222236955618E-2"/>
          <c:w val="0.77750704068975485"/>
          <c:h val="0.69648670952524327"/>
        </c:manualLayout>
      </c:layout>
      <c:scatterChart>
        <c:scatterStyle val="lineMarker"/>
        <c:varyColors val="0"/>
        <c:ser>
          <c:idx val="0"/>
          <c:order val="0"/>
          <c:spPr>
            <a:ln w="28575">
              <a:noFill/>
            </a:ln>
          </c:spPr>
          <c:marker>
            <c:symbol val="square"/>
            <c:size val="5"/>
            <c:spPr>
              <a:noFill/>
              <a:ln>
                <a:solidFill>
                  <a:srgbClr val="000000"/>
                </a:solidFill>
                <a:prstDash val="solid"/>
              </a:ln>
            </c:spPr>
          </c:marker>
          <c:xVal>
            <c:numLit>
              <c:formatCode>General</c:formatCode>
              <c:ptCount val="23"/>
              <c:pt idx="0">
                <c:v>7.52</c:v>
              </c:pt>
              <c:pt idx="1">
                <c:v>6.96</c:v>
              </c:pt>
              <c:pt idx="2">
                <c:v>17.670000000000002</c:v>
              </c:pt>
              <c:pt idx="3">
                <c:v>38.76</c:v>
              </c:pt>
              <c:pt idx="4">
                <c:v>45.19</c:v>
              </c:pt>
              <c:pt idx="5">
                <c:v>58.74</c:v>
              </c:pt>
              <c:pt idx="6">
                <c:v>95.31</c:v>
              </c:pt>
              <c:pt idx="7">
                <c:v>96.49</c:v>
              </c:pt>
              <c:pt idx="8">
                <c:v>34.950000000000003</c:v>
              </c:pt>
              <c:pt idx="9">
                <c:v>36.11</c:v>
              </c:pt>
              <c:pt idx="10">
                <c:v>3.63</c:v>
              </c:pt>
              <c:pt idx="11">
                <c:v>13.37</c:v>
              </c:pt>
              <c:pt idx="12">
                <c:v>10.33</c:v>
              </c:pt>
              <c:pt idx="13">
                <c:v>1.1200000000000001</c:v>
              </c:pt>
              <c:pt idx="14">
                <c:v>1.49</c:v>
              </c:pt>
              <c:pt idx="15">
                <c:v>3.33</c:v>
              </c:pt>
              <c:pt idx="16">
                <c:v>1.49</c:v>
              </c:pt>
              <c:pt idx="17">
                <c:v>1.66</c:v>
              </c:pt>
              <c:pt idx="18">
                <c:v>5.6</c:v>
              </c:pt>
              <c:pt idx="19">
                <c:v>5.79</c:v>
              </c:pt>
              <c:pt idx="20">
                <c:v>1.58</c:v>
              </c:pt>
              <c:pt idx="21">
                <c:v>3.36</c:v>
              </c:pt>
              <c:pt idx="22">
                <c:v>2.92</c:v>
              </c:pt>
            </c:numLit>
          </c:xVal>
          <c:yVal>
            <c:numLit>
              <c:formatCode>General</c:formatCode>
              <c:ptCount val="23"/>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numLit>
          </c:yVal>
          <c:smooth val="0"/>
        </c:ser>
        <c:dLbls>
          <c:showLegendKey val="0"/>
          <c:showVal val="0"/>
          <c:showCatName val="0"/>
          <c:showSerName val="0"/>
          <c:showPercent val="0"/>
          <c:showBubbleSize val="0"/>
        </c:dLbls>
        <c:axId val="256148608"/>
        <c:axId val="256149184"/>
      </c:scatterChart>
      <c:valAx>
        <c:axId val="256148608"/>
        <c:scaling>
          <c:orientation val="minMax"/>
        </c:scaling>
        <c:delete val="0"/>
        <c:axPos val="b"/>
        <c:title>
          <c:tx>
            <c:rich>
              <a:bodyPr/>
              <a:lstStyle/>
              <a:p>
                <a:pPr>
                  <a:defRPr sz="1000" b="0" i="0" u="none" strike="noStrike" baseline="0">
                    <a:solidFill>
                      <a:srgbClr val="000000"/>
                    </a:solidFill>
                    <a:latin typeface="Arial"/>
                    <a:ea typeface="Arial"/>
                    <a:cs typeface="Arial"/>
                  </a:defRPr>
                </a:pPr>
                <a:r>
                  <a:t>tree branch biomass (kg)</a:t>
                </a:r>
              </a:p>
            </c:rich>
          </c:tx>
          <c:layout>
            <c:manualLayout>
              <c:xMode val="edge"/>
              <c:yMode val="edge"/>
              <c:x val="0.36674860409894094"/>
              <c:y val="0.87859561981395362"/>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149184"/>
        <c:crosses val="autoZero"/>
        <c:crossBetween val="midCat"/>
      </c:valAx>
      <c:valAx>
        <c:axId val="256149184"/>
        <c:scaling>
          <c:orientation val="minMax"/>
        </c:scaling>
        <c:delete val="0"/>
        <c:axPos val="l"/>
        <c:title>
          <c:tx>
            <c:rich>
              <a:bodyPr/>
              <a:lstStyle/>
              <a:p>
                <a:pPr>
                  <a:defRPr sz="1000" b="0" i="0" u="none" strike="noStrike" baseline="0">
                    <a:solidFill>
                      <a:srgbClr val="000000"/>
                    </a:solidFill>
                    <a:latin typeface="Arial"/>
                    <a:ea typeface="Arial"/>
                    <a:cs typeface="Arial"/>
                  </a:defRPr>
                </a:pPr>
                <a:r>
                  <a:t>tree needle biomass (kg)</a:t>
                </a:r>
              </a:p>
            </c:rich>
          </c:tx>
          <c:layout>
            <c:manualLayout>
              <c:xMode val="edge"/>
              <c:yMode val="edge"/>
              <c:x val="3.9119851103887035E-2"/>
              <c:y val="0.1980833761035095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148608"/>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846539948366619E-2"/>
          <c:y val="6.4039485884926639E-2"/>
          <c:w val="0.86021634417054316"/>
          <c:h val="0.76601077346969948"/>
        </c:manualLayout>
      </c:layout>
      <c:scatterChart>
        <c:scatterStyle val="lineMarker"/>
        <c:varyColors val="0"/>
        <c:ser>
          <c:idx val="0"/>
          <c:order val="0"/>
          <c:spPr>
            <a:ln w="28575">
              <a:noFill/>
            </a:ln>
          </c:spPr>
          <c:marker>
            <c:symbol val="none"/>
          </c:marker>
          <c:dLbls>
            <c:dLbl>
              <c:idx val="0"/>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2"/>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3"/>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4"/>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5"/>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6"/>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7"/>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8"/>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9"/>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10"/>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1"/>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12"/>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13"/>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14"/>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15"/>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6"/>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7"/>
              <c:tx>
                <c:rich>
                  <a:bodyPr/>
                  <a:lstStyle/>
                  <a:p>
                    <a:pPr>
                      <a:defRPr sz="1000" b="0" i="0" u="none" strike="noStrike" baseline="0">
                        <a:solidFill>
                          <a:srgbClr val="000000"/>
                        </a:solidFill>
                        <a:latin typeface="Arial"/>
                        <a:ea typeface="Arial"/>
                        <a:cs typeface="Arial"/>
                      </a:defRPr>
                    </a:pPr>
                    <a:r>
                      <a:t>1</a:t>
                    </a:r>
                  </a:p>
                </c:rich>
              </c:tx>
              <c:spPr>
                <a:noFill/>
                <a:ln w="25400">
                  <a:noFill/>
                </a:ln>
              </c:spPr>
              <c:showLegendKey val="0"/>
              <c:showVal val="0"/>
              <c:showCatName val="0"/>
              <c:showSerName val="0"/>
              <c:showPercent val="0"/>
              <c:showBubbleSize val="0"/>
            </c:dLbl>
            <c:dLbl>
              <c:idx val="18"/>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19"/>
              <c:tx>
                <c:rich>
                  <a:bodyPr/>
                  <a:lstStyle/>
                  <a:p>
                    <a:pPr>
                      <a:defRPr sz="1000" b="0" i="0" u="none" strike="noStrike" baseline="0">
                        <a:solidFill>
                          <a:srgbClr val="000000"/>
                        </a:solidFill>
                        <a:latin typeface="Arial"/>
                        <a:ea typeface="Arial"/>
                        <a:cs typeface="Arial"/>
                      </a:defRPr>
                    </a:pPr>
                    <a:r>
                      <a:t>4</a:t>
                    </a:r>
                  </a:p>
                </c:rich>
              </c:tx>
              <c:spPr>
                <a:noFill/>
                <a:ln w="25400">
                  <a:noFill/>
                </a:ln>
              </c:spPr>
              <c:showLegendKey val="0"/>
              <c:showVal val="0"/>
              <c:showCatName val="0"/>
              <c:showSerName val="0"/>
              <c:showPercent val="0"/>
              <c:showBubbleSize val="0"/>
            </c:dLbl>
            <c:dLbl>
              <c:idx val="20"/>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dLbl>
              <c:idx val="21"/>
              <c:tx>
                <c:rich>
                  <a:bodyPr/>
                  <a:lstStyle/>
                  <a:p>
                    <a:pPr>
                      <a:defRPr sz="1000" b="0" i="0" u="none" strike="noStrike" baseline="0">
                        <a:solidFill>
                          <a:srgbClr val="000000"/>
                        </a:solidFill>
                        <a:latin typeface="Arial"/>
                        <a:ea typeface="Arial"/>
                        <a:cs typeface="Arial"/>
                      </a:defRPr>
                    </a:pPr>
                    <a:r>
                      <a:t>2</a:t>
                    </a:r>
                  </a:p>
                </c:rich>
              </c:tx>
              <c:spPr>
                <a:noFill/>
                <a:ln w="25400">
                  <a:noFill/>
                </a:ln>
              </c:spPr>
              <c:showLegendKey val="0"/>
              <c:showVal val="0"/>
              <c:showCatName val="0"/>
              <c:showSerName val="0"/>
              <c:showPercent val="0"/>
              <c:showBubbleSize val="0"/>
            </c:dLbl>
            <c:dLbl>
              <c:idx val="22"/>
              <c:tx>
                <c:rich>
                  <a:bodyPr/>
                  <a:lstStyle/>
                  <a:p>
                    <a:pPr>
                      <a:defRPr sz="1000" b="0" i="0" u="none" strike="noStrike" baseline="0">
                        <a:solidFill>
                          <a:srgbClr val="000000"/>
                        </a:solidFill>
                        <a:latin typeface="Arial"/>
                        <a:ea typeface="Arial"/>
                        <a:cs typeface="Arial"/>
                      </a:defRPr>
                    </a:pPr>
                    <a:r>
                      <a:t>3</a:t>
                    </a:r>
                  </a:p>
                </c:rich>
              </c:tx>
              <c:spPr>
                <a:noFill/>
                <a:ln w="25400">
                  <a:noFill/>
                </a:ln>
              </c:spPr>
              <c:showLegendKey val="0"/>
              <c:showVal val="0"/>
              <c:showCatName val="0"/>
              <c:showSerName val="0"/>
              <c:showPercent val="0"/>
              <c:showBubbleSize val="0"/>
            </c:dLbl>
            <c:showLegendKey val="0"/>
            <c:showVal val="0"/>
            <c:showCatName val="0"/>
            <c:showSerName val="0"/>
            <c:showPercent val="0"/>
            <c:showBubbleSize val="0"/>
          </c:dLbls>
          <c:trendline>
            <c:spPr>
              <a:ln w="25400">
                <a:solidFill>
                  <a:srgbClr val="000000"/>
                </a:solidFill>
                <a:prstDash val="solid"/>
              </a:ln>
            </c:spPr>
            <c:trendlineType val="linear"/>
            <c:intercept val="0"/>
            <c:dispRSqr val="1"/>
            <c:dispEq val="1"/>
            <c:trendlineLbl>
              <c:layout>
                <c:manualLayout>
                  <c:xMode val="edge"/>
                  <c:yMode val="edge"/>
                  <c:x val="0.5898626360026582"/>
                  <c:y val="0.14285731466637483"/>
                </c:manualLayout>
              </c:layout>
              <c:numFmt formatCode="General"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trendlineLbl>
          </c:trendline>
          <c:xVal>
            <c:numLit>
              <c:formatCode>General</c:formatCode>
              <c:ptCount val="23"/>
              <c:pt idx="0">
                <c:v>73.267141784701536</c:v>
              </c:pt>
              <c:pt idx="1">
                <c:v>74.799813902897426</c:v>
              </c:pt>
              <c:pt idx="2">
                <c:v>226.47741439728816</c:v>
              </c:pt>
              <c:pt idx="3">
                <c:v>230.74074078454095</c:v>
              </c:pt>
              <c:pt idx="4">
                <c:v>296.81</c:v>
              </c:pt>
              <c:pt idx="5">
                <c:v>306.97000000000003</c:v>
              </c:pt>
              <c:pt idx="6">
                <c:v>467.82</c:v>
              </c:pt>
              <c:pt idx="7">
                <c:v>599.35</c:v>
              </c:pt>
              <c:pt idx="8">
                <c:v>285.29391935871467</c:v>
              </c:pt>
              <c:pt idx="9">
                <c:v>237.6752287119273</c:v>
              </c:pt>
              <c:pt idx="10">
                <c:v>44.149199168717587</c:v>
              </c:pt>
              <c:pt idx="11">
                <c:v>178.14597491721767</c:v>
              </c:pt>
              <c:pt idx="12">
                <c:v>157.84146889798521</c:v>
              </c:pt>
              <c:pt idx="13">
                <c:v>37.549019112459611</c:v>
              </c:pt>
              <c:pt idx="14">
                <c:v>42.846905930295662</c:v>
              </c:pt>
              <c:pt idx="15">
                <c:v>22.061834409834322</c:v>
              </c:pt>
              <c:pt idx="16">
                <c:v>11.091835828062921</c:v>
              </c:pt>
              <c:pt idx="17">
                <c:v>16.982271788061329</c:v>
              </c:pt>
              <c:pt idx="18">
                <c:v>102.02076705606794</c:v>
              </c:pt>
              <c:pt idx="19">
                <c:v>102.79438424701439</c:v>
              </c:pt>
              <c:pt idx="20">
                <c:v>55.920349233898321</c:v>
              </c:pt>
              <c:pt idx="21">
                <c:v>56.088966561947665</c:v>
              </c:pt>
              <c:pt idx="22">
                <c:v>57.25699873323034</c:v>
              </c:pt>
            </c:numLit>
          </c:xVal>
          <c:yVal>
            <c:numLit>
              <c:formatCode>General</c:formatCode>
              <c:ptCount val="23"/>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numLit>
          </c:yVal>
          <c:smooth val="0"/>
        </c:ser>
        <c:dLbls>
          <c:showLegendKey val="0"/>
          <c:showVal val="0"/>
          <c:showCatName val="0"/>
          <c:showSerName val="0"/>
          <c:showPercent val="0"/>
          <c:showBubbleSize val="0"/>
        </c:dLbls>
        <c:axId val="256982336"/>
        <c:axId val="254255104"/>
      </c:scatterChart>
      <c:valAx>
        <c:axId val="256982336"/>
        <c:scaling>
          <c:orientation val="minMax"/>
          <c:max val="700"/>
          <c:min val="0"/>
        </c:scaling>
        <c:delete val="0"/>
        <c:axPos val="b"/>
        <c:title>
          <c:tx>
            <c:rich>
              <a:bodyPr/>
              <a:lstStyle/>
              <a:p>
                <a:pPr>
                  <a:defRPr sz="1000" b="0" i="0" u="none" strike="noStrike" baseline="0">
                    <a:solidFill>
                      <a:srgbClr val="000000"/>
                    </a:solidFill>
                    <a:latin typeface="Arial"/>
                    <a:ea typeface="Arial"/>
                    <a:cs typeface="Arial"/>
                  </a:defRPr>
                </a:pPr>
                <a:r>
                  <a:t>sapwood area at breast height (cm2)</a:t>
                </a:r>
              </a:p>
            </c:rich>
          </c:tx>
          <c:layout>
            <c:manualLayout>
              <c:xMode val="edge"/>
              <c:yMode val="edge"/>
              <c:x val="0.36559194627248087"/>
              <c:y val="0.90640503098665404"/>
            </c:manualLayout>
          </c:layout>
          <c:overlay val="0"/>
          <c:spPr>
            <a:noFill/>
            <a:ln w="25400">
              <a:noFill/>
            </a:ln>
          </c:spPr>
        </c:title>
        <c:numFmt formatCode="General" sourceLinked="1"/>
        <c:majorTickMark val="in"/>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4255104"/>
        <c:crosses val="autoZero"/>
        <c:crossBetween val="midCat"/>
      </c:valAx>
      <c:valAx>
        <c:axId val="254255104"/>
        <c:scaling>
          <c:orientation val="minMax"/>
        </c:scaling>
        <c:delete val="0"/>
        <c:axPos val="l"/>
        <c:title>
          <c:tx>
            <c:rich>
              <a:bodyPr/>
              <a:lstStyle/>
              <a:p>
                <a:pPr>
                  <a:defRPr sz="1000" b="0" i="0" u="none" strike="noStrike" baseline="0">
                    <a:solidFill>
                      <a:srgbClr val="000000"/>
                    </a:solidFill>
                    <a:latin typeface="Arial"/>
                    <a:ea typeface="Arial"/>
                    <a:cs typeface="Arial"/>
                  </a:defRPr>
                </a:pPr>
                <a:r>
                  <a:t>tree needle mass (kg DM)</a:t>
                </a:r>
              </a:p>
            </c:rich>
          </c:tx>
          <c:layout>
            <c:manualLayout>
              <c:xMode val="edge"/>
              <c:yMode val="edge"/>
              <c:x val="2.4577609833444092E-2"/>
              <c:y val="0.2561579435397065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256982336"/>
        <c:crosses val="autoZero"/>
        <c:crossBetween val="midCat"/>
      </c:valAx>
      <c:spPr>
        <a:solidFill>
          <a:srgbClr val="FFFFFF"/>
        </a:solid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75" b="1" i="0" u="none" strike="noStrike" baseline="0">
                <a:solidFill>
                  <a:srgbClr val="000000"/>
                </a:solidFill>
                <a:latin typeface="Arial"/>
                <a:ea typeface="Arial"/>
                <a:cs typeface="Arial"/>
              </a:defRPr>
            </a:pPr>
            <a:r>
              <a:t>Höhen-Blattmasse-Beziehungen DG, alle</a:t>
            </a:r>
          </a:p>
        </c:rich>
      </c:tx>
      <c:layout>
        <c:manualLayout>
          <c:xMode val="edge"/>
          <c:yMode val="edge"/>
          <c:x val="0.17666695421053746"/>
          <c:y val="3.1941031941031942E-2"/>
        </c:manualLayout>
      </c:layout>
      <c:overlay val="0"/>
      <c:spPr>
        <a:noFill/>
        <a:ln w="25400">
          <a:noFill/>
        </a:ln>
      </c:spPr>
    </c:title>
    <c:autoTitleDeleted val="0"/>
    <c:plotArea>
      <c:layout>
        <c:manualLayout>
          <c:layoutTarget val="inner"/>
          <c:xMode val="edge"/>
          <c:yMode val="edge"/>
          <c:x val="0.13166688096823073"/>
          <c:y val="0.19656019656019655"/>
          <c:w val="0.82500134277562298"/>
          <c:h val="0.53071253071253066"/>
        </c:manualLayout>
      </c:layout>
      <c:scatterChart>
        <c:scatterStyle val="lineMarker"/>
        <c:varyColors val="0"/>
        <c:ser>
          <c:idx val="0"/>
          <c:order val="0"/>
          <c:tx>
            <c:v>alle</c:v>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og"/>
            <c:dispRSqr val="1"/>
            <c:dispEq val="1"/>
            <c:trendlineLbl>
              <c:layout>
                <c:manualLayout>
                  <c:xMode val="edge"/>
                  <c:yMode val="edge"/>
                  <c:x val="0.66833442111722186"/>
                  <c:y val="0.10810810810810811"/>
                </c:manualLayout>
              </c:layout>
              <c:numFmt formatCode="General" sourceLinked="0"/>
              <c:spPr>
                <a:noFill/>
                <a:ln w="25400">
                  <a:noFill/>
                </a:ln>
              </c:spPr>
              <c:txPr>
                <a:bodyPr/>
                <a:lstStyle/>
                <a:p>
                  <a:pPr algn="ctr" rtl="1">
                    <a:defRPr sz="1200" b="0" i="0" u="none" strike="noStrike" baseline="0">
                      <a:solidFill>
                        <a:srgbClr val="000000"/>
                      </a:solidFill>
                      <a:latin typeface="Arial"/>
                      <a:ea typeface="Arial"/>
                      <a:cs typeface="Arial"/>
                    </a:defRPr>
                  </a:pPr>
                  <a:endParaRPr lang="de-DE"/>
                </a:p>
              </c:txPr>
            </c:trendlineLbl>
          </c:trendline>
          <c:xVal>
            <c:numLit>
              <c:formatCode>General</c:formatCode>
              <c:ptCount val="48"/>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pt idx="23">
                <c:v>0.5</c:v>
              </c:pt>
              <c:pt idx="24">
                <c:v>2.2000000000000002</c:v>
              </c:pt>
              <c:pt idx="25">
                <c:v>2.9</c:v>
              </c:pt>
              <c:pt idx="26">
                <c:v>3.5</c:v>
              </c:pt>
              <c:pt idx="27">
                <c:v>1.4</c:v>
              </c:pt>
              <c:pt idx="28">
                <c:v>2.1</c:v>
              </c:pt>
              <c:pt idx="29">
                <c:v>4.7</c:v>
              </c:pt>
              <c:pt idx="30">
                <c:v>9.9</c:v>
              </c:pt>
              <c:pt idx="31">
                <c:v>3.6</c:v>
              </c:pt>
              <c:pt idx="32">
                <c:v>6.7</c:v>
              </c:pt>
              <c:pt idx="33">
                <c:v>8.1999999999999993</c:v>
              </c:pt>
              <c:pt idx="34">
                <c:v>7.6</c:v>
              </c:pt>
              <c:pt idx="35">
                <c:v>8.6</c:v>
              </c:pt>
              <c:pt idx="36">
                <c:v>12.9</c:v>
              </c:pt>
              <c:pt idx="37">
                <c:v>47.9</c:v>
              </c:pt>
              <c:pt idx="38">
                <c:v>4.5</c:v>
              </c:pt>
              <c:pt idx="39">
                <c:v>10.8</c:v>
              </c:pt>
              <c:pt idx="40">
                <c:v>13.8</c:v>
              </c:pt>
              <c:pt idx="41">
                <c:v>31.2</c:v>
              </c:pt>
              <c:pt idx="42">
                <c:v>5.5</c:v>
              </c:pt>
              <c:pt idx="43">
                <c:v>6.8</c:v>
              </c:pt>
              <c:pt idx="44">
                <c:v>35.483870967741936</c:v>
              </c:pt>
              <c:pt idx="45">
                <c:v>3.2</c:v>
              </c:pt>
              <c:pt idx="46">
                <c:v>9.3333333333333339</c:v>
              </c:pt>
              <c:pt idx="47">
                <c:v>6.1</c:v>
              </c:pt>
            </c:numLit>
          </c:xVal>
          <c:yVal>
            <c:numLit>
              <c:formatCode>General</c:formatCode>
              <c:ptCount val="48"/>
              <c:pt idx="0">
                <c:v>7.62</c:v>
              </c:pt>
              <c:pt idx="1">
                <c:v>6.3</c:v>
              </c:pt>
              <c:pt idx="2">
                <c:v>19</c:v>
              </c:pt>
              <c:pt idx="3">
                <c:v>13.3</c:v>
              </c:pt>
              <c:pt idx="4">
                <c:v>13.95</c:v>
              </c:pt>
              <c:pt idx="5">
                <c:v>14.4</c:v>
              </c:pt>
              <c:pt idx="6">
                <c:v>25.4</c:v>
              </c:pt>
              <c:pt idx="7">
                <c:v>26.34</c:v>
              </c:pt>
              <c:pt idx="8">
                <c:v>20</c:v>
              </c:pt>
              <c:pt idx="9">
                <c:v>17.899999999999999</c:v>
              </c:pt>
              <c:pt idx="10">
                <c:v>6.16</c:v>
              </c:pt>
              <c:pt idx="11">
                <c:v>20.5</c:v>
              </c:pt>
              <c:pt idx="12">
                <c:v>19.829999999999998</c:v>
              </c:pt>
              <c:pt idx="13">
                <c:v>9.2200000000000006</c:v>
              </c:pt>
              <c:pt idx="14">
                <c:v>10.95</c:v>
              </c:pt>
              <c:pt idx="15">
                <c:v>4.7699999999999996</c:v>
              </c:pt>
              <c:pt idx="16">
                <c:v>4.3</c:v>
              </c:pt>
              <c:pt idx="17">
                <c:v>4</c:v>
              </c:pt>
              <c:pt idx="18">
                <c:v>15.9</c:v>
              </c:pt>
              <c:pt idx="19">
                <c:v>19</c:v>
              </c:pt>
              <c:pt idx="20">
                <c:v>14.2</c:v>
              </c:pt>
              <c:pt idx="21">
                <c:v>9.41</c:v>
              </c:pt>
              <c:pt idx="22">
                <c:v>14.78</c:v>
              </c:pt>
              <c:pt idx="23">
                <c:v>9.4</c:v>
              </c:pt>
              <c:pt idx="24">
                <c:v>11.8</c:v>
              </c:pt>
              <c:pt idx="25">
                <c:v>13.2</c:v>
              </c:pt>
              <c:pt idx="26">
                <c:v>14.8</c:v>
              </c:pt>
              <c:pt idx="27">
                <c:v>11.8</c:v>
              </c:pt>
              <c:pt idx="28">
                <c:v>14.4</c:v>
              </c:pt>
              <c:pt idx="29">
                <c:v>15.4</c:v>
              </c:pt>
              <c:pt idx="30">
                <c:v>19</c:v>
              </c:pt>
              <c:pt idx="31">
                <c:v>22.2</c:v>
              </c:pt>
              <c:pt idx="32">
                <c:v>22.2</c:v>
              </c:pt>
              <c:pt idx="33">
                <c:v>24.4</c:v>
              </c:pt>
              <c:pt idx="34">
                <c:v>25</c:v>
              </c:pt>
              <c:pt idx="35">
                <c:v>25.8</c:v>
              </c:pt>
              <c:pt idx="36">
                <c:v>28.2</c:v>
              </c:pt>
              <c:pt idx="37">
                <c:v>30</c:v>
              </c:pt>
              <c:pt idx="38">
                <c:v>22.6</c:v>
              </c:pt>
              <c:pt idx="39">
                <c:v>24</c:v>
              </c:pt>
              <c:pt idx="40">
                <c:v>27</c:v>
              </c:pt>
              <c:pt idx="41">
                <c:v>28.4</c:v>
              </c:pt>
              <c:pt idx="42">
                <c:v>21.6</c:v>
              </c:pt>
              <c:pt idx="43">
                <c:v>23</c:v>
              </c:pt>
              <c:pt idx="44">
                <c:v>36.5</c:v>
              </c:pt>
              <c:pt idx="45">
                <c:v>6</c:v>
              </c:pt>
              <c:pt idx="46">
                <c:v>18.8</c:v>
              </c:pt>
              <c:pt idx="47">
                <c:v>15.3</c:v>
              </c:pt>
            </c:numLit>
          </c:yVal>
          <c:smooth val="0"/>
        </c:ser>
        <c:dLbls>
          <c:showLegendKey val="0"/>
          <c:showVal val="0"/>
          <c:showCatName val="0"/>
          <c:showSerName val="0"/>
          <c:showPercent val="0"/>
          <c:showBubbleSize val="0"/>
        </c:dLbls>
        <c:axId val="256446400"/>
        <c:axId val="256446976"/>
      </c:scatterChart>
      <c:valAx>
        <c:axId val="256446400"/>
        <c:scaling>
          <c:orientation val="minMax"/>
        </c:scaling>
        <c:delete val="0"/>
        <c:axPos val="b"/>
        <c:title>
          <c:tx>
            <c:rich>
              <a:bodyPr/>
              <a:lstStyle/>
              <a:p>
                <a:pPr>
                  <a:defRPr sz="1200" b="1" i="0" u="none" strike="noStrike" baseline="0">
                    <a:solidFill>
                      <a:srgbClr val="000000"/>
                    </a:solidFill>
                    <a:latin typeface="Arial"/>
                    <a:ea typeface="Arial"/>
                    <a:cs typeface="Arial"/>
                  </a:defRPr>
                </a:pPr>
                <a:r>
                  <a:t>Nadelmasse in kg TS</a:t>
                </a:r>
              </a:p>
            </c:rich>
          </c:tx>
          <c:layout>
            <c:manualLayout>
              <c:xMode val="edge"/>
              <c:yMode val="edge"/>
              <c:x val="0.40500065918076039"/>
              <c:y val="0.815724815724815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446976"/>
        <c:crosses val="autoZero"/>
        <c:crossBetween val="midCat"/>
      </c:valAx>
      <c:valAx>
        <c:axId val="256446976"/>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t>Höhe in m</a:t>
                </a:r>
              </a:p>
            </c:rich>
          </c:tx>
          <c:layout>
            <c:manualLayout>
              <c:xMode val="edge"/>
              <c:yMode val="edge"/>
              <c:x val="2.6666710069515088E-2"/>
              <c:y val="0.3611793611793611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446400"/>
        <c:crosses val="autoZero"/>
        <c:crossBetween val="midCat"/>
      </c:valAx>
      <c:spPr>
        <a:solidFill>
          <a:srgbClr val="C0C0C0"/>
        </a:solidFill>
        <a:ln w="12700">
          <a:solidFill>
            <a:srgbClr val="808080"/>
          </a:solidFill>
          <a:prstDash val="solid"/>
        </a:ln>
      </c:spPr>
    </c:plotArea>
    <c:legend>
      <c:legendPos val="b"/>
      <c:layout>
        <c:manualLayout>
          <c:xMode val="edge"/>
          <c:yMode val="edge"/>
          <c:x val="0.34500056152435143"/>
          <c:y val="0.91646191646191644"/>
          <c:w val="0.39833398166338163"/>
          <c:h val="6.63390663390663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25" b="1" i="0" u="none" strike="noStrike" baseline="0">
                <a:solidFill>
                  <a:srgbClr val="000000"/>
                </a:solidFill>
                <a:latin typeface="Arial"/>
                <a:ea typeface="Arial"/>
                <a:cs typeface="Arial"/>
              </a:defRPr>
            </a:pPr>
            <a:r>
              <a:t>Höhen-Blattmasse-Beziehungen DG</a:t>
            </a:r>
          </a:p>
        </c:rich>
      </c:tx>
      <c:layout>
        <c:manualLayout>
          <c:xMode val="edge"/>
          <c:yMode val="edge"/>
          <c:x val="0.22294040203169335"/>
          <c:y val="3.1941031941031942E-2"/>
        </c:manualLayout>
      </c:layout>
      <c:overlay val="0"/>
      <c:spPr>
        <a:noFill/>
        <a:ln w="25400">
          <a:noFill/>
        </a:ln>
      </c:spPr>
    </c:title>
    <c:autoTitleDeleted val="0"/>
    <c:plotArea>
      <c:layout>
        <c:manualLayout>
          <c:layoutTarget val="inner"/>
          <c:xMode val="edge"/>
          <c:yMode val="edge"/>
          <c:x val="0.1276253026123462"/>
          <c:y val="0.19656019656019655"/>
          <c:w val="0.83037222206007522"/>
          <c:h val="0.53071253071253066"/>
        </c:manualLayout>
      </c:layout>
      <c:scatterChart>
        <c:scatterStyle val="lineMarker"/>
        <c:varyColors val="0"/>
        <c:ser>
          <c:idx val="0"/>
          <c:order val="0"/>
          <c:tx>
            <c:v>Bartelink</c:v>
          </c:tx>
          <c:spPr>
            <a:ln w="28575">
              <a:noFill/>
            </a:ln>
          </c:spPr>
          <c:marker>
            <c:symbol val="diamond"/>
            <c:size val="5"/>
            <c:spPr>
              <a:solidFill>
                <a:srgbClr val="000080"/>
              </a:solidFill>
              <a:ln>
                <a:solidFill>
                  <a:srgbClr val="000080"/>
                </a:solidFill>
                <a:prstDash val="solid"/>
              </a:ln>
            </c:spPr>
          </c:marker>
          <c:xVal>
            <c:numLit>
              <c:formatCode>General</c:formatCode>
              <c:ptCount val="23"/>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numLit>
          </c:xVal>
          <c:yVal>
            <c:numLit>
              <c:formatCode>General</c:formatCode>
              <c:ptCount val="23"/>
              <c:pt idx="0">
                <c:v>7.62</c:v>
              </c:pt>
              <c:pt idx="1">
                <c:v>6.3</c:v>
              </c:pt>
              <c:pt idx="2">
                <c:v>19</c:v>
              </c:pt>
              <c:pt idx="3">
                <c:v>13.3</c:v>
              </c:pt>
              <c:pt idx="4">
                <c:v>13.95</c:v>
              </c:pt>
              <c:pt idx="5">
                <c:v>14.4</c:v>
              </c:pt>
              <c:pt idx="6">
                <c:v>25.4</c:v>
              </c:pt>
              <c:pt idx="7">
                <c:v>26.34</c:v>
              </c:pt>
              <c:pt idx="8">
                <c:v>20</c:v>
              </c:pt>
              <c:pt idx="9">
                <c:v>17.899999999999999</c:v>
              </c:pt>
              <c:pt idx="10">
                <c:v>6.16</c:v>
              </c:pt>
              <c:pt idx="11">
                <c:v>20.5</c:v>
              </c:pt>
              <c:pt idx="12">
                <c:v>19.829999999999998</c:v>
              </c:pt>
              <c:pt idx="13">
                <c:v>9.2200000000000006</c:v>
              </c:pt>
              <c:pt idx="14">
                <c:v>10.95</c:v>
              </c:pt>
              <c:pt idx="15">
                <c:v>4.7699999999999996</c:v>
              </c:pt>
              <c:pt idx="16">
                <c:v>4.3</c:v>
              </c:pt>
              <c:pt idx="17">
                <c:v>4</c:v>
              </c:pt>
              <c:pt idx="18">
                <c:v>15.9</c:v>
              </c:pt>
              <c:pt idx="19">
                <c:v>19</c:v>
              </c:pt>
              <c:pt idx="20">
                <c:v>14.2</c:v>
              </c:pt>
              <c:pt idx="21">
                <c:v>9.41</c:v>
              </c:pt>
              <c:pt idx="22">
                <c:v>14.78</c:v>
              </c:pt>
            </c:numLit>
          </c:yVal>
          <c:smooth val="0"/>
        </c:ser>
        <c:ser>
          <c:idx val="1"/>
          <c:order val="1"/>
          <c:tx>
            <c:v>Burger</c:v>
          </c:tx>
          <c:spPr>
            <a:ln w="28575">
              <a:noFill/>
            </a:ln>
          </c:spPr>
          <c:marker>
            <c:symbol val="square"/>
            <c:size val="5"/>
            <c:spPr>
              <a:solidFill>
                <a:srgbClr val="FF00FF"/>
              </a:solidFill>
              <a:ln>
                <a:solidFill>
                  <a:srgbClr val="FF00FF"/>
                </a:solidFill>
                <a:prstDash val="solid"/>
              </a:ln>
            </c:spPr>
          </c:marker>
          <c:xVal>
            <c:numLit>
              <c:formatCode>General</c:formatCode>
              <c:ptCount val="21"/>
              <c:pt idx="0">
                <c:v>0.5</c:v>
              </c:pt>
              <c:pt idx="1">
                <c:v>2.2000000000000002</c:v>
              </c:pt>
              <c:pt idx="2">
                <c:v>2.9</c:v>
              </c:pt>
              <c:pt idx="3">
                <c:v>3.5</c:v>
              </c:pt>
              <c:pt idx="4">
                <c:v>1.4</c:v>
              </c:pt>
              <c:pt idx="5">
                <c:v>2.1</c:v>
              </c:pt>
              <c:pt idx="6">
                <c:v>4.7</c:v>
              </c:pt>
              <c:pt idx="7">
                <c:v>9.9</c:v>
              </c:pt>
              <c:pt idx="8">
                <c:v>3.6</c:v>
              </c:pt>
              <c:pt idx="9">
                <c:v>6.7</c:v>
              </c:pt>
              <c:pt idx="10">
                <c:v>8.1999999999999993</c:v>
              </c:pt>
              <c:pt idx="11">
                <c:v>7.6</c:v>
              </c:pt>
              <c:pt idx="12">
                <c:v>8.6</c:v>
              </c:pt>
              <c:pt idx="13">
                <c:v>12.9</c:v>
              </c:pt>
              <c:pt idx="14">
                <c:v>47.9</c:v>
              </c:pt>
              <c:pt idx="15">
                <c:v>4.5</c:v>
              </c:pt>
              <c:pt idx="16">
                <c:v>10.8</c:v>
              </c:pt>
              <c:pt idx="17">
                <c:v>13.8</c:v>
              </c:pt>
              <c:pt idx="18">
                <c:v>31.2</c:v>
              </c:pt>
              <c:pt idx="19">
                <c:v>5.5</c:v>
              </c:pt>
              <c:pt idx="20">
                <c:v>6.8</c:v>
              </c:pt>
            </c:numLit>
          </c:xVal>
          <c:yVal>
            <c:numLit>
              <c:formatCode>General</c:formatCode>
              <c:ptCount val="21"/>
              <c:pt idx="0">
                <c:v>9.4</c:v>
              </c:pt>
              <c:pt idx="1">
                <c:v>11.8</c:v>
              </c:pt>
              <c:pt idx="2">
                <c:v>13.2</c:v>
              </c:pt>
              <c:pt idx="3">
                <c:v>14.8</c:v>
              </c:pt>
              <c:pt idx="4">
                <c:v>11.8</c:v>
              </c:pt>
              <c:pt idx="5">
                <c:v>14.4</c:v>
              </c:pt>
              <c:pt idx="6">
                <c:v>15.4</c:v>
              </c:pt>
              <c:pt idx="7">
                <c:v>19</c:v>
              </c:pt>
              <c:pt idx="8">
                <c:v>22.2</c:v>
              </c:pt>
              <c:pt idx="9">
                <c:v>22.2</c:v>
              </c:pt>
              <c:pt idx="10">
                <c:v>24.4</c:v>
              </c:pt>
              <c:pt idx="11">
                <c:v>25</c:v>
              </c:pt>
              <c:pt idx="12">
                <c:v>25.8</c:v>
              </c:pt>
              <c:pt idx="13">
                <c:v>28.2</c:v>
              </c:pt>
              <c:pt idx="14">
                <c:v>30</c:v>
              </c:pt>
              <c:pt idx="15">
                <c:v>22.6</c:v>
              </c:pt>
              <c:pt idx="16">
                <c:v>24</c:v>
              </c:pt>
              <c:pt idx="17">
                <c:v>27</c:v>
              </c:pt>
              <c:pt idx="18">
                <c:v>28.4</c:v>
              </c:pt>
              <c:pt idx="19">
                <c:v>21.6</c:v>
              </c:pt>
              <c:pt idx="20">
                <c:v>23</c:v>
              </c:pt>
            </c:numLit>
          </c:yVal>
          <c:smooth val="0"/>
        </c:ser>
        <c:ser>
          <c:idx val="2"/>
          <c:order val="2"/>
          <c:tx>
            <c:v>andere (Can.Kün.)</c:v>
          </c:tx>
          <c:spPr>
            <a:ln w="28575">
              <a:noFill/>
            </a:ln>
          </c:spPr>
          <c:marker>
            <c:symbol val="triangle"/>
            <c:size val="5"/>
            <c:spPr>
              <a:solidFill>
                <a:srgbClr val="FFFF00"/>
              </a:solidFill>
              <a:ln>
                <a:solidFill>
                  <a:srgbClr val="FFFF00"/>
                </a:solidFill>
                <a:prstDash val="solid"/>
              </a:ln>
            </c:spPr>
          </c:marker>
          <c:xVal>
            <c:numLit>
              <c:formatCode>General</c:formatCode>
              <c:ptCount val="4"/>
              <c:pt idx="0">
                <c:v>35.483870967741936</c:v>
              </c:pt>
              <c:pt idx="1">
                <c:v>3.2</c:v>
              </c:pt>
              <c:pt idx="2">
                <c:v>9.3333333333333339</c:v>
              </c:pt>
              <c:pt idx="3">
                <c:v>6.1</c:v>
              </c:pt>
            </c:numLit>
          </c:xVal>
          <c:yVal>
            <c:numLit>
              <c:formatCode>General</c:formatCode>
              <c:ptCount val="4"/>
              <c:pt idx="0">
                <c:v>36.5</c:v>
              </c:pt>
              <c:pt idx="1">
                <c:v>6</c:v>
              </c:pt>
              <c:pt idx="2">
                <c:v>18.8</c:v>
              </c:pt>
              <c:pt idx="3">
                <c:v>15.3</c:v>
              </c:pt>
            </c:numLit>
          </c:yVal>
          <c:smooth val="0"/>
        </c:ser>
        <c:ser>
          <c:idx val="3"/>
          <c:order val="3"/>
          <c:tx>
            <c:v>Turner, Fkt.</c:v>
          </c:tx>
          <c:spPr>
            <a:ln w="28575">
              <a:noFill/>
            </a:ln>
          </c:spPr>
          <c:marker>
            <c:symbol val="diamond"/>
            <c:size val="3"/>
            <c:spPr>
              <a:solidFill>
                <a:srgbClr val="008000"/>
              </a:solidFill>
              <a:ln>
                <a:solidFill>
                  <a:srgbClr val="008000"/>
                </a:solidFill>
                <a:prstDash val="solid"/>
              </a:ln>
            </c:spPr>
          </c:marker>
          <c:xVal>
            <c:numLit>
              <c:formatCode>General</c:formatCode>
              <c:ptCount val="64"/>
              <c:pt idx="0">
                <c:v>0.18882084078150019</c:v>
              </c:pt>
              <c:pt idx="1">
                <c:v>0.37634067436052193</c:v>
              </c:pt>
              <c:pt idx="2">
                <c:v>0.61390610146800206</c:v>
              </c:pt>
              <c:pt idx="3">
                <c:v>0.89731697144910583</c:v>
              </c:pt>
              <c:pt idx="4">
                <c:v>1.2235822871261302</c:v>
              </c:pt>
              <c:pt idx="5">
                <c:v>1.5904120976190954</c:v>
              </c:pt>
              <c:pt idx="6">
                <c:v>1.9959698297062447</c:v>
              </c:pt>
              <c:pt idx="7">
                <c:v>2.4387338874605509</c:v>
              </c:pt>
              <c:pt idx="8">
                <c:v>2.9174129372766089</c:v>
              </c:pt>
              <c:pt idx="9">
                <c:v>3.4308905362186213</c:v>
              </c:pt>
              <c:pt idx="10">
                <c:v>3.9781870931511061</c:v>
              </c:pt>
              <c:pt idx="11">
                <c:v>4.5584326942409819</c:v>
              </c:pt>
              <c:pt idx="12">
                <c:v>5.1708470661176387</c:v>
              </c:pt>
              <c:pt idx="13">
                <c:v>5.8147244110267762</c:v>
              </c:pt>
              <c:pt idx="14">
                <c:v>6.4894216747008882</c:v>
              </c:pt>
              <c:pt idx="15">
                <c:v>7.1943492985184498</c:v>
              </c:pt>
              <c:pt idx="16">
                <c:v>7.9289638112632277</c:v>
              </c:pt>
              <c:pt idx="17">
                <c:v>8.6927618104141544</c:v>
              </c:pt>
              <c:pt idx="18">
                <c:v>9.4852750113973165</c:v>
              </c:pt>
              <c:pt idx="19">
                <c:v>10.306066130325689</c:v>
              </c:pt>
              <c:pt idx="20">
                <c:v>11.154725426155384</c:v>
              </c:pt>
              <c:pt idx="21">
                <c:v>12.030867770942375</c:v>
              </c:pt>
              <c:pt idx="22">
                <c:v>12.934130147703479</c:v>
              </c:pt>
              <c:pt idx="23">
                <c:v>13.864169497967675</c:v>
              </c:pt>
              <c:pt idx="24">
                <c:v>14.820660857897964</c:v>
              </c:pt>
              <c:pt idx="25">
                <c:v>15.803295734521143</c:v>
              </c:pt>
              <c:pt idx="26">
                <c:v>16.811780683261059</c:v>
              </c:pt>
              <c:pt idx="27">
                <c:v>17.845836055422971</c:v>
              </c:pt>
              <c:pt idx="28">
                <c:v>18.905194890086605</c:v>
              </c:pt>
              <c:pt idx="29">
                <c:v>19.989601929438873</c:v>
              </c:pt>
              <c:pt idx="30">
                <c:v>21.098812740208395</c:v>
              </c:pt>
              <c:pt idx="31">
                <c:v>22.232592926771215</c:v>
              </c:pt>
              <c:pt idx="32">
                <c:v>23.39071742384299</c:v>
              </c:pt>
              <c:pt idx="33">
                <c:v>24.572969858578084</c:v>
              </c:pt>
              <c:pt idx="34">
                <c:v>25.779141973455246</c:v>
              </c:pt>
              <c:pt idx="35">
                <c:v>27.009033102611955</c:v>
              </c:pt>
              <c:pt idx="36">
                <c:v>28.262449695352341</c:v>
              </c:pt>
              <c:pt idx="37">
                <c:v>29.539204881436888</c:v>
              </c:pt>
              <c:pt idx="38">
                <c:v>30.839118073502963</c:v>
              </c:pt>
              <c:pt idx="39">
                <c:v>32.16201460258678</c:v>
              </c:pt>
              <c:pt idx="40">
                <c:v>33.50772538324356</c:v>
              </c:pt>
              <c:pt idx="41">
                <c:v>34.876086605208464</c:v>
              </c:pt>
              <c:pt idx="42">
                <c:v>36.266939448921143</c:v>
              </c:pt>
              <c:pt idx="43">
                <c:v>37.680129822562243</c:v>
              </c:pt>
              <c:pt idx="44">
                <c:v>39.115508118529107</c:v>
              </c:pt>
              <c:pt idx="45">
                <c:v>40.572928987519063</c:v>
              </c:pt>
              <c:pt idx="46">
                <c:v>42.052251128596602</c:v>
              </c:pt>
              <c:pt idx="47">
                <c:v>43.553337093801517</c:v>
              </c:pt>
              <c:pt idx="48">
                <c:v>45.076053106012992</c:v>
              </c:pt>
              <c:pt idx="49">
                <c:v>46.620268888919917</c:v>
              </c:pt>
              <c:pt idx="50">
                <c:v>48.185857508071152</c:v>
              </c:pt>
              <c:pt idx="51">
                <c:v>49.772695222081317</c:v>
              </c:pt>
              <c:pt idx="52">
                <c:v>51.380661343164178</c:v>
              </c:pt>
              <c:pt idx="53">
                <c:v>53.009638106244203</c:v>
              </c:pt>
              <c:pt idx="54">
                <c:v>54.659510545972879</c:v>
              </c:pt>
              <c:pt idx="55">
                <c:v>56.330166381037152</c:v>
              </c:pt>
              <c:pt idx="56">
                <c:v>58.02149590520839</c:v>
              </c:pt>
              <c:pt idx="57">
                <c:v>59.733391884627004</c:v>
              </c:pt>
              <c:pt idx="58">
                <c:v>61.465749460866512</c:v>
              </c:pt>
              <c:pt idx="59">
                <c:v>63.218466059361262</c:v>
              </c:pt>
              <c:pt idx="60">
                <c:v>64.991441302815161</c:v>
              </c:pt>
              <c:pt idx="61">
                <c:v>66.784576929246228</c:v>
              </c:pt>
              <c:pt idx="62">
                <c:v>68.597776714347674</c:v>
              </c:pt>
              <c:pt idx="63">
                <c:v>70.430946397873797</c:v>
              </c:pt>
            </c:numLit>
          </c:xVal>
          <c:yVal>
            <c:numLit>
              <c:formatCode>General</c:formatCode>
              <c:ptCount val="64"/>
              <c:pt idx="0">
                <c:v>1.7472000000000003</c:v>
              </c:pt>
              <c:pt idx="1">
                <c:v>2.3933</c:v>
              </c:pt>
              <c:pt idx="2">
                <c:v>3.0394000000000005</c:v>
              </c:pt>
              <c:pt idx="3">
                <c:v>3.6855000000000002</c:v>
              </c:pt>
              <c:pt idx="4">
                <c:v>4.3315999999999999</c:v>
              </c:pt>
              <c:pt idx="5">
                <c:v>4.9776999999999996</c:v>
              </c:pt>
              <c:pt idx="6">
                <c:v>5.623800000000001</c:v>
              </c:pt>
              <c:pt idx="7">
                <c:v>6.2699000000000007</c:v>
              </c:pt>
              <c:pt idx="8">
                <c:v>6.9160000000000004</c:v>
              </c:pt>
              <c:pt idx="9">
                <c:v>7.5621000000000009</c:v>
              </c:pt>
              <c:pt idx="10">
                <c:v>8.2081999999999997</c:v>
              </c:pt>
              <c:pt idx="11">
                <c:v>8.8543000000000003</c:v>
              </c:pt>
              <c:pt idx="12">
                <c:v>9.5003999999999991</c:v>
              </c:pt>
              <c:pt idx="13">
                <c:v>10.146500000000001</c:v>
              </c:pt>
              <c:pt idx="14">
                <c:v>10.792600000000002</c:v>
              </c:pt>
              <c:pt idx="15">
                <c:v>11.438700000000001</c:v>
              </c:pt>
              <c:pt idx="16">
                <c:v>12.084800000000001</c:v>
              </c:pt>
              <c:pt idx="17">
                <c:v>12.7309</c:v>
              </c:pt>
              <c:pt idx="18">
                <c:v>13.377000000000001</c:v>
              </c:pt>
              <c:pt idx="19">
                <c:v>14.023100000000001</c:v>
              </c:pt>
              <c:pt idx="20">
                <c:v>14.669200000000002</c:v>
              </c:pt>
              <c:pt idx="21">
                <c:v>15.315299999999999</c:v>
              </c:pt>
              <c:pt idx="22">
                <c:v>15.961399999999999</c:v>
              </c:pt>
              <c:pt idx="23">
                <c:v>16.607499999999998</c:v>
              </c:pt>
              <c:pt idx="24">
                <c:v>17.253599999999999</c:v>
              </c:pt>
              <c:pt idx="25">
                <c:v>17.899699999999999</c:v>
              </c:pt>
              <c:pt idx="26">
                <c:v>18.545799999999996</c:v>
              </c:pt>
              <c:pt idx="27">
                <c:v>19.191899999999997</c:v>
              </c:pt>
              <c:pt idx="28">
                <c:v>19.838000000000001</c:v>
              </c:pt>
              <c:pt idx="29">
                <c:v>20.484100000000002</c:v>
              </c:pt>
              <c:pt idx="30">
                <c:v>21.130200000000002</c:v>
              </c:pt>
              <c:pt idx="31">
                <c:v>21.776299999999999</c:v>
              </c:pt>
              <c:pt idx="32">
                <c:v>22.4224</c:v>
              </c:pt>
              <c:pt idx="33">
                <c:v>23.0685</c:v>
              </c:pt>
              <c:pt idx="34">
                <c:v>23.714600000000001</c:v>
              </c:pt>
              <c:pt idx="35">
                <c:v>24.360700000000001</c:v>
              </c:pt>
              <c:pt idx="36">
                <c:v>25.006799999999998</c:v>
              </c:pt>
              <c:pt idx="37">
                <c:v>25.652899999999999</c:v>
              </c:pt>
              <c:pt idx="38">
                <c:v>26.298999999999999</c:v>
              </c:pt>
              <c:pt idx="39">
                <c:v>26.945099999999996</c:v>
              </c:pt>
              <c:pt idx="40">
                <c:v>27.591200000000001</c:v>
              </c:pt>
              <c:pt idx="41">
                <c:v>28.237299999999998</c:v>
              </c:pt>
              <c:pt idx="42">
                <c:v>28.883400000000002</c:v>
              </c:pt>
              <c:pt idx="43">
                <c:v>29.529499999999999</c:v>
              </c:pt>
              <c:pt idx="44">
                <c:v>30.175599999999996</c:v>
              </c:pt>
              <c:pt idx="45">
                <c:v>30.8217</c:v>
              </c:pt>
              <c:pt idx="46">
                <c:v>31.467799999999997</c:v>
              </c:pt>
              <c:pt idx="47">
                <c:v>32.113900000000001</c:v>
              </c:pt>
              <c:pt idx="48">
                <c:v>32.76</c:v>
              </c:pt>
              <c:pt idx="49">
                <c:v>33.406099999999995</c:v>
              </c:pt>
              <c:pt idx="50">
                <c:v>34.052199999999999</c:v>
              </c:pt>
              <c:pt idx="51">
                <c:v>34.698299999999996</c:v>
              </c:pt>
              <c:pt idx="52">
                <c:v>35.3444</c:v>
              </c:pt>
              <c:pt idx="53">
                <c:v>35.990499999999997</c:v>
              </c:pt>
              <c:pt idx="54">
                <c:v>36.636599999999994</c:v>
              </c:pt>
              <c:pt idx="55">
                <c:v>37.282699999999998</c:v>
              </c:pt>
              <c:pt idx="56">
                <c:v>37.928799999999995</c:v>
              </c:pt>
              <c:pt idx="57">
                <c:v>38.5749</c:v>
              </c:pt>
              <c:pt idx="58">
                <c:v>39.221000000000004</c:v>
              </c:pt>
              <c:pt idx="59">
                <c:v>39.867100000000001</c:v>
              </c:pt>
              <c:pt idx="60">
                <c:v>40.513200000000005</c:v>
              </c:pt>
              <c:pt idx="61">
                <c:v>41.159300000000002</c:v>
              </c:pt>
              <c:pt idx="62">
                <c:v>41.805400000000006</c:v>
              </c:pt>
              <c:pt idx="63">
                <c:v>42.451500000000003</c:v>
              </c:pt>
            </c:numLit>
          </c:yVal>
          <c:smooth val="0"/>
        </c:ser>
        <c:ser>
          <c:idx val="4"/>
          <c:order val="4"/>
          <c:tx>
            <c:v>Ponette_err</c:v>
          </c:tx>
          <c:spPr>
            <a:ln w="28575">
              <a:noFill/>
            </a:ln>
          </c:spPr>
          <c:marker>
            <c:symbol val="triangle"/>
            <c:size val="5"/>
            <c:spPr>
              <a:solidFill>
                <a:srgbClr val="FF6600"/>
              </a:solidFill>
              <a:ln>
                <a:solidFill>
                  <a:srgbClr val="FF6600"/>
                </a:solidFill>
                <a:prstDash val="solid"/>
              </a:ln>
            </c:spPr>
          </c:marker>
          <c:xVal>
            <c:numLit>
              <c:formatCode>General</c:formatCode>
              <c:ptCount val="5"/>
              <c:pt idx="0">
                <c:v>20</c:v>
              </c:pt>
              <c:pt idx="1">
                <c:v>22.668810289389068</c:v>
              </c:pt>
              <c:pt idx="2">
                <c:v>24.361158432708688</c:v>
              </c:pt>
              <c:pt idx="3">
                <c:v>30.124223602484474</c:v>
              </c:pt>
              <c:pt idx="4">
                <c:v>39.094650205761319</c:v>
              </c:pt>
            </c:numLit>
          </c:xVal>
          <c:yVal>
            <c:numLit>
              <c:formatCode>General</c:formatCode>
              <c:ptCount val="5"/>
              <c:pt idx="0">
                <c:v>22.172335600907026</c:v>
              </c:pt>
              <c:pt idx="1">
                <c:v>18.162698412698411</c:v>
              </c:pt>
              <c:pt idx="2">
                <c:v>20.206896551724135</c:v>
              </c:pt>
              <c:pt idx="3">
                <c:v>26.241269841269844</c:v>
              </c:pt>
              <c:pt idx="4">
                <c:v>33.844884488448841</c:v>
              </c:pt>
            </c:numLit>
          </c:yVal>
          <c:smooth val="0"/>
        </c:ser>
        <c:dLbls>
          <c:showLegendKey val="0"/>
          <c:showVal val="0"/>
          <c:showCatName val="0"/>
          <c:showSerName val="0"/>
          <c:showPercent val="0"/>
          <c:showBubbleSize val="0"/>
        </c:dLbls>
        <c:axId val="256448704"/>
        <c:axId val="256449280"/>
      </c:scatterChart>
      <c:valAx>
        <c:axId val="256448704"/>
        <c:scaling>
          <c:orientation val="minMax"/>
        </c:scaling>
        <c:delete val="0"/>
        <c:axPos val="b"/>
        <c:title>
          <c:tx>
            <c:rich>
              <a:bodyPr/>
              <a:lstStyle/>
              <a:p>
                <a:pPr>
                  <a:defRPr sz="1200" b="1" i="0" u="none" strike="noStrike" baseline="0">
                    <a:solidFill>
                      <a:srgbClr val="000000"/>
                    </a:solidFill>
                    <a:latin typeface="Arial"/>
                    <a:ea typeface="Arial"/>
                    <a:cs typeface="Arial"/>
                  </a:defRPr>
                </a:pPr>
                <a:r>
                  <a:t>Nadelmasse in kg TS</a:t>
                </a:r>
              </a:p>
            </c:rich>
          </c:tx>
          <c:layout>
            <c:manualLayout>
              <c:xMode val="edge"/>
              <c:yMode val="edge"/>
              <c:x val="0.40872407039143782"/>
              <c:y val="0.815724815724815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449280"/>
        <c:crosses val="autoZero"/>
        <c:crossBetween val="midCat"/>
      </c:valAx>
      <c:valAx>
        <c:axId val="256449280"/>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t>Höhe in m</a:t>
                </a:r>
              </a:p>
            </c:rich>
          </c:tx>
          <c:layout>
            <c:manualLayout>
              <c:xMode val="edge"/>
              <c:yMode val="edge"/>
              <c:x val="2.5848162554399229E-2"/>
              <c:y val="0.3611793611793611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448704"/>
        <c:crosses val="autoZero"/>
        <c:crossBetween val="midCat"/>
      </c:valAx>
      <c:spPr>
        <a:solidFill>
          <a:srgbClr val="C0C0C0"/>
        </a:solidFill>
        <a:ln w="12700">
          <a:solidFill>
            <a:srgbClr val="808080"/>
          </a:solidFill>
          <a:prstDash val="solid"/>
        </a:ln>
      </c:spPr>
    </c:plotArea>
    <c:legend>
      <c:legendPos val="b"/>
      <c:layout>
        <c:manualLayout>
          <c:xMode val="edge"/>
          <c:yMode val="edge"/>
          <c:x val="8.4006528301797487E-2"/>
          <c:y val="0.91646191646191644"/>
          <c:w val="0.83198773221972511"/>
          <c:h val="6.633906633906633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75" b="1" i="0" u="none" strike="noStrike" baseline="0">
                <a:solidFill>
                  <a:srgbClr val="000000"/>
                </a:solidFill>
                <a:latin typeface="Arial"/>
                <a:ea typeface="Arial"/>
                <a:cs typeface="Arial"/>
              </a:defRPr>
            </a:pPr>
            <a:r>
              <a:t>Höhen-Blattmasse-Beziehungen DG, alle mit Turner</a:t>
            </a:r>
          </a:p>
        </c:rich>
      </c:tx>
      <c:layout>
        <c:manualLayout>
          <c:xMode val="edge"/>
          <c:yMode val="edge"/>
          <c:x val="0.14740392621297604"/>
          <c:y val="3.1630245471804361E-2"/>
        </c:manualLayout>
      </c:layout>
      <c:overlay val="0"/>
      <c:spPr>
        <a:noFill/>
        <a:ln w="25400">
          <a:noFill/>
        </a:ln>
      </c:spPr>
    </c:title>
    <c:autoTitleDeleted val="0"/>
    <c:plotArea>
      <c:layout>
        <c:manualLayout>
          <c:layoutTarget val="inner"/>
          <c:xMode val="edge"/>
          <c:yMode val="edge"/>
          <c:x val="0.14070374774874986"/>
          <c:y val="0.25790815538548173"/>
          <c:w val="0.81574672801953785"/>
          <c:h val="0.52798178979858057"/>
        </c:manualLayout>
      </c:layout>
      <c:scatterChart>
        <c:scatterStyle val="lineMarker"/>
        <c:varyColors val="0"/>
        <c:ser>
          <c:idx val="0"/>
          <c:order val="0"/>
          <c:tx>
            <c:v>alle</c:v>
          </c:tx>
          <c:spPr>
            <a:ln w="28575">
              <a:noFill/>
            </a:ln>
          </c:spPr>
          <c:marker>
            <c:symbol val="diamond"/>
            <c:size val="5"/>
            <c:spPr>
              <a:solidFill>
                <a:srgbClr val="000080"/>
              </a:solidFill>
              <a:ln>
                <a:solidFill>
                  <a:srgbClr val="000080"/>
                </a:solidFill>
                <a:prstDash val="solid"/>
              </a:ln>
            </c:spPr>
          </c:marker>
          <c:trendline>
            <c:spPr>
              <a:ln w="25400">
                <a:solidFill>
                  <a:srgbClr val="000000"/>
                </a:solidFill>
                <a:prstDash val="solid"/>
              </a:ln>
            </c:spPr>
            <c:trendlineType val="log"/>
            <c:dispRSqr val="1"/>
            <c:dispEq val="1"/>
            <c:trendlineLbl>
              <c:layout>
                <c:manualLayout>
                  <c:xMode val="edge"/>
                  <c:yMode val="edge"/>
                  <c:x val="0.69346847104740994"/>
                  <c:y val="0.11435550285960039"/>
                </c:manualLayout>
              </c:layout>
              <c:numFmt formatCode="General" sourceLinked="0"/>
              <c:spPr>
                <a:noFill/>
                <a:ln w="25400">
                  <a:noFill/>
                </a:ln>
              </c:spPr>
              <c:txPr>
                <a:bodyPr/>
                <a:lstStyle/>
                <a:p>
                  <a:pPr algn="ctr" rtl="1">
                    <a:defRPr sz="1200" b="0" i="0" u="none" strike="noStrike" baseline="0">
                      <a:solidFill>
                        <a:srgbClr val="000000"/>
                      </a:solidFill>
                      <a:latin typeface="Arial"/>
                      <a:ea typeface="Arial"/>
                      <a:cs typeface="Arial"/>
                    </a:defRPr>
                  </a:pPr>
                  <a:endParaRPr lang="de-DE"/>
                </a:p>
              </c:txPr>
            </c:trendlineLbl>
          </c:trendline>
          <c:xVal>
            <c:numLit>
              <c:formatCode>General</c:formatCode>
              <c:ptCount val="112"/>
              <c:pt idx="0">
                <c:v>7.82</c:v>
              </c:pt>
              <c:pt idx="1">
                <c:v>8.44</c:v>
              </c:pt>
              <c:pt idx="2">
                <c:v>15</c:v>
              </c:pt>
              <c:pt idx="3">
                <c:v>23.37</c:v>
              </c:pt>
              <c:pt idx="4">
                <c:v>30.81</c:v>
              </c:pt>
              <c:pt idx="5">
                <c:v>38.33</c:v>
              </c:pt>
              <c:pt idx="6">
                <c:v>36.590000000000003</c:v>
              </c:pt>
              <c:pt idx="7">
                <c:v>44.08</c:v>
              </c:pt>
              <c:pt idx="8">
                <c:v>22.78</c:v>
              </c:pt>
              <c:pt idx="9">
                <c:v>23</c:v>
              </c:pt>
              <c:pt idx="10">
                <c:v>4.5999999999999996</c:v>
              </c:pt>
              <c:pt idx="11">
                <c:v>10.51</c:v>
              </c:pt>
              <c:pt idx="12">
                <c:v>8.4600000000000009</c:v>
              </c:pt>
              <c:pt idx="13">
                <c:v>1.55</c:v>
              </c:pt>
              <c:pt idx="14">
                <c:v>2.36</c:v>
              </c:pt>
              <c:pt idx="15">
                <c:v>3.44</c:v>
              </c:pt>
              <c:pt idx="16">
                <c:v>2.17</c:v>
              </c:pt>
              <c:pt idx="17">
                <c:v>2.76</c:v>
              </c:pt>
              <c:pt idx="18">
                <c:v>6.56</c:v>
              </c:pt>
              <c:pt idx="19">
                <c:v>5.66</c:v>
              </c:pt>
              <c:pt idx="20">
                <c:v>2.1800000000000002</c:v>
              </c:pt>
              <c:pt idx="21">
                <c:v>3.68</c:v>
              </c:pt>
              <c:pt idx="22">
                <c:v>3.93</c:v>
              </c:pt>
              <c:pt idx="23">
                <c:v>0.5</c:v>
              </c:pt>
              <c:pt idx="24">
                <c:v>2.2000000000000002</c:v>
              </c:pt>
              <c:pt idx="25">
                <c:v>2.9</c:v>
              </c:pt>
              <c:pt idx="26">
                <c:v>3.5</c:v>
              </c:pt>
              <c:pt idx="27">
                <c:v>1.4</c:v>
              </c:pt>
              <c:pt idx="28">
                <c:v>2.1</c:v>
              </c:pt>
              <c:pt idx="29">
                <c:v>4.7</c:v>
              </c:pt>
              <c:pt idx="30">
                <c:v>9.9</c:v>
              </c:pt>
              <c:pt idx="31">
                <c:v>3.6</c:v>
              </c:pt>
              <c:pt idx="32">
                <c:v>6.7</c:v>
              </c:pt>
              <c:pt idx="33">
                <c:v>8.1999999999999993</c:v>
              </c:pt>
              <c:pt idx="34">
                <c:v>7.6</c:v>
              </c:pt>
              <c:pt idx="35">
                <c:v>8.6</c:v>
              </c:pt>
              <c:pt idx="36">
                <c:v>12.9</c:v>
              </c:pt>
              <c:pt idx="37">
                <c:v>47.9</c:v>
              </c:pt>
              <c:pt idx="38">
                <c:v>4.5</c:v>
              </c:pt>
              <c:pt idx="39">
                <c:v>10.8</c:v>
              </c:pt>
              <c:pt idx="40">
                <c:v>13.8</c:v>
              </c:pt>
              <c:pt idx="41">
                <c:v>31.2</c:v>
              </c:pt>
              <c:pt idx="42">
                <c:v>5.5</c:v>
              </c:pt>
              <c:pt idx="43">
                <c:v>6.8</c:v>
              </c:pt>
              <c:pt idx="44">
                <c:v>35.483870967741936</c:v>
              </c:pt>
              <c:pt idx="45">
                <c:v>3.2</c:v>
              </c:pt>
              <c:pt idx="46">
                <c:v>9.3333333333333339</c:v>
              </c:pt>
              <c:pt idx="47">
                <c:v>6.1</c:v>
              </c:pt>
              <c:pt idx="48">
                <c:v>0.18882084078150019</c:v>
              </c:pt>
              <c:pt idx="49">
                <c:v>0.37634067436052193</c:v>
              </c:pt>
              <c:pt idx="50">
                <c:v>0.61390610146800206</c:v>
              </c:pt>
              <c:pt idx="51">
                <c:v>0.89731697144910583</c:v>
              </c:pt>
              <c:pt idx="52">
                <c:v>1.2235822871261302</c:v>
              </c:pt>
              <c:pt idx="53">
                <c:v>1.5904120976190954</c:v>
              </c:pt>
              <c:pt idx="54">
                <c:v>1.9959698297062447</c:v>
              </c:pt>
              <c:pt idx="55">
                <c:v>2.4387338874605509</c:v>
              </c:pt>
              <c:pt idx="56">
                <c:v>2.9174129372766089</c:v>
              </c:pt>
              <c:pt idx="57">
                <c:v>3.4308905362186213</c:v>
              </c:pt>
              <c:pt idx="58">
                <c:v>3.9781870931511061</c:v>
              </c:pt>
              <c:pt idx="59">
                <c:v>4.5584326942409819</c:v>
              </c:pt>
              <c:pt idx="60">
                <c:v>5.1708470661176387</c:v>
              </c:pt>
              <c:pt idx="61">
                <c:v>5.8147244110267762</c:v>
              </c:pt>
              <c:pt idx="62">
                <c:v>6.4894216747008882</c:v>
              </c:pt>
              <c:pt idx="63">
                <c:v>7.1943492985184498</c:v>
              </c:pt>
              <c:pt idx="64">
                <c:v>7.9289638112632277</c:v>
              </c:pt>
              <c:pt idx="65">
                <c:v>8.6927618104141544</c:v>
              </c:pt>
              <c:pt idx="66">
                <c:v>9.4852750113973165</c:v>
              </c:pt>
              <c:pt idx="67">
                <c:v>10.306066130325689</c:v>
              </c:pt>
              <c:pt idx="68">
                <c:v>11.154725426155384</c:v>
              </c:pt>
              <c:pt idx="69">
                <c:v>12.030867770942375</c:v>
              </c:pt>
              <c:pt idx="70">
                <c:v>12.934130147703479</c:v>
              </c:pt>
              <c:pt idx="71">
                <c:v>13.864169497967675</c:v>
              </c:pt>
              <c:pt idx="72">
                <c:v>14.820660857897964</c:v>
              </c:pt>
              <c:pt idx="73">
                <c:v>15.803295734521143</c:v>
              </c:pt>
              <c:pt idx="74">
                <c:v>16.811780683261059</c:v>
              </c:pt>
              <c:pt idx="75">
                <c:v>17.845836055422971</c:v>
              </c:pt>
              <c:pt idx="76">
                <c:v>18.905194890086605</c:v>
              </c:pt>
              <c:pt idx="77">
                <c:v>19.989601929438873</c:v>
              </c:pt>
              <c:pt idx="78">
                <c:v>21.098812740208395</c:v>
              </c:pt>
              <c:pt idx="79">
                <c:v>22.232592926771215</c:v>
              </c:pt>
              <c:pt idx="80">
                <c:v>23.39071742384299</c:v>
              </c:pt>
              <c:pt idx="81">
                <c:v>24.572969858578084</c:v>
              </c:pt>
              <c:pt idx="82">
                <c:v>25.779141973455246</c:v>
              </c:pt>
              <c:pt idx="83">
                <c:v>27.009033102611955</c:v>
              </c:pt>
              <c:pt idx="84">
                <c:v>28.262449695352341</c:v>
              </c:pt>
              <c:pt idx="85">
                <c:v>29.539204881436888</c:v>
              </c:pt>
              <c:pt idx="86">
                <c:v>30.839118073502963</c:v>
              </c:pt>
              <c:pt idx="87">
                <c:v>32.16201460258678</c:v>
              </c:pt>
              <c:pt idx="88">
                <c:v>33.50772538324356</c:v>
              </c:pt>
              <c:pt idx="89">
                <c:v>34.876086605208464</c:v>
              </c:pt>
              <c:pt idx="90">
                <c:v>36.266939448921143</c:v>
              </c:pt>
              <c:pt idx="91">
                <c:v>37.680129822562243</c:v>
              </c:pt>
              <c:pt idx="92">
                <c:v>39.115508118529107</c:v>
              </c:pt>
              <c:pt idx="93">
                <c:v>40.572928987519063</c:v>
              </c:pt>
              <c:pt idx="94">
                <c:v>42.052251128596602</c:v>
              </c:pt>
              <c:pt idx="95">
                <c:v>43.553337093801517</c:v>
              </c:pt>
              <c:pt idx="96">
                <c:v>45.076053106012992</c:v>
              </c:pt>
              <c:pt idx="97">
                <c:v>46.620268888919917</c:v>
              </c:pt>
              <c:pt idx="98">
                <c:v>48.185857508071152</c:v>
              </c:pt>
              <c:pt idx="99">
                <c:v>49.772695222081317</c:v>
              </c:pt>
              <c:pt idx="100">
                <c:v>51.380661343164178</c:v>
              </c:pt>
              <c:pt idx="101">
                <c:v>53.009638106244203</c:v>
              </c:pt>
              <c:pt idx="102">
                <c:v>54.659510545972879</c:v>
              </c:pt>
              <c:pt idx="103">
                <c:v>56.330166381037152</c:v>
              </c:pt>
              <c:pt idx="104">
                <c:v>58.02149590520839</c:v>
              </c:pt>
              <c:pt idx="105">
                <c:v>59.733391884627004</c:v>
              </c:pt>
              <c:pt idx="106">
                <c:v>61.465749460866512</c:v>
              </c:pt>
              <c:pt idx="107">
                <c:v>63.218466059361262</c:v>
              </c:pt>
              <c:pt idx="108">
                <c:v>64.991441302815161</c:v>
              </c:pt>
              <c:pt idx="109">
                <c:v>66.784576929246228</c:v>
              </c:pt>
              <c:pt idx="110">
                <c:v>68.597776714347674</c:v>
              </c:pt>
              <c:pt idx="111">
                <c:v>70.430946397873797</c:v>
              </c:pt>
            </c:numLit>
          </c:xVal>
          <c:yVal>
            <c:numLit>
              <c:formatCode>General</c:formatCode>
              <c:ptCount val="112"/>
              <c:pt idx="0">
                <c:v>7.62</c:v>
              </c:pt>
              <c:pt idx="1">
                <c:v>6.3</c:v>
              </c:pt>
              <c:pt idx="2">
                <c:v>19</c:v>
              </c:pt>
              <c:pt idx="3">
                <c:v>13.3</c:v>
              </c:pt>
              <c:pt idx="4">
                <c:v>13.95</c:v>
              </c:pt>
              <c:pt idx="5">
                <c:v>14.4</c:v>
              </c:pt>
              <c:pt idx="6">
                <c:v>25.4</c:v>
              </c:pt>
              <c:pt idx="7">
                <c:v>26.34</c:v>
              </c:pt>
              <c:pt idx="8">
                <c:v>20</c:v>
              </c:pt>
              <c:pt idx="9">
                <c:v>17.899999999999999</c:v>
              </c:pt>
              <c:pt idx="10">
                <c:v>6.16</c:v>
              </c:pt>
              <c:pt idx="11">
                <c:v>20.5</c:v>
              </c:pt>
              <c:pt idx="12">
                <c:v>19.829999999999998</c:v>
              </c:pt>
              <c:pt idx="13">
                <c:v>9.2200000000000006</c:v>
              </c:pt>
              <c:pt idx="14">
                <c:v>10.95</c:v>
              </c:pt>
              <c:pt idx="15">
                <c:v>4.7699999999999996</c:v>
              </c:pt>
              <c:pt idx="16">
                <c:v>4.3</c:v>
              </c:pt>
              <c:pt idx="17">
                <c:v>4</c:v>
              </c:pt>
              <c:pt idx="18">
                <c:v>15.9</c:v>
              </c:pt>
              <c:pt idx="19">
                <c:v>19</c:v>
              </c:pt>
              <c:pt idx="20">
                <c:v>14.2</c:v>
              </c:pt>
              <c:pt idx="21">
                <c:v>9.41</c:v>
              </c:pt>
              <c:pt idx="22">
                <c:v>14.78</c:v>
              </c:pt>
              <c:pt idx="23">
                <c:v>9.4</c:v>
              </c:pt>
              <c:pt idx="24">
                <c:v>11.8</c:v>
              </c:pt>
              <c:pt idx="25">
                <c:v>13.2</c:v>
              </c:pt>
              <c:pt idx="26">
                <c:v>14.8</c:v>
              </c:pt>
              <c:pt idx="27">
                <c:v>11.8</c:v>
              </c:pt>
              <c:pt idx="28">
                <c:v>14.4</c:v>
              </c:pt>
              <c:pt idx="29">
                <c:v>15.4</c:v>
              </c:pt>
              <c:pt idx="30">
                <c:v>19</c:v>
              </c:pt>
              <c:pt idx="31">
                <c:v>22.2</c:v>
              </c:pt>
              <c:pt idx="32">
                <c:v>22.2</c:v>
              </c:pt>
              <c:pt idx="33">
                <c:v>24.4</c:v>
              </c:pt>
              <c:pt idx="34">
                <c:v>25</c:v>
              </c:pt>
              <c:pt idx="35">
                <c:v>25.8</c:v>
              </c:pt>
              <c:pt idx="36">
                <c:v>28.2</c:v>
              </c:pt>
              <c:pt idx="37">
                <c:v>30</c:v>
              </c:pt>
              <c:pt idx="38">
                <c:v>22.6</c:v>
              </c:pt>
              <c:pt idx="39">
                <c:v>24</c:v>
              </c:pt>
              <c:pt idx="40">
                <c:v>27</c:v>
              </c:pt>
              <c:pt idx="41">
                <c:v>28.4</c:v>
              </c:pt>
              <c:pt idx="42">
                <c:v>21.6</c:v>
              </c:pt>
              <c:pt idx="43">
                <c:v>23</c:v>
              </c:pt>
              <c:pt idx="44">
                <c:v>36.5</c:v>
              </c:pt>
              <c:pt idx="45">
                <c:v>6</c:v>
              </c:pt>
              <c:pt idx="46">
                <c:v>18.8</c:v>
              </c:pt>
              <c:pt idx="47">
                <c:v>15.3</c:v>
              </c:pt>
              <c:pt idx="48">
                <c:v>1.7472000000000003</c:v>
              </c:pt>
              <c:pt idx="49">
                <c:v>2.3933</c:v>
              </c:pt>
              <c:pt idx="50">
                <c:v>3.0394000000000005</c:v>
              </c:pt>
              <c:pt idx="51">
                <c:v>3.6855000000000002</c:v>
              </c:pt>
              <c:pt idx="52">
                <c:v>4.3315999999999999</c:v>
              </c:pt>
              <c:pt idx="53">
                <c:v>4.9776999999999996</c:v>
              </c:pt>
              <c:pt idx="54">
                <c:v>5.623800000000001</c:v>
              </c:pt>
              <c:pt idx="55">
                <c:v>6.2699000000000007</c:v>
              </c:pt>
              <c:pt idx="56">
                <c:v>6.9160000000000004</c:v>
              </c:pt>
              <c:pt idx="57">
                <c:v>7.5621000000000009</c:v>
              </c:pt>
              <c:pt idx="58">
                <c:v>8.2081999999999997</c:v>
              </c:pt>
              <c:pt idx="59">
                <c:v>8.8543000000000003</c:v>
              </c:pt>
              <c:pt idx="60">
                <c:v>9.5003999999999991</c:v>
              </c:pt>
              <c:pt idx="61">
                <c:v>10.146500000000001</c:v>
              </c:pt>
              <c:pt idx="62">
                <c:v>10.792600000000002</c:v>
              </c:pt>
              <c:pt idx="63">
                <c:v>11.438700000000001</c:v>
              </c:pt>
              <c:pt idx="64">
                <c:v>12.084800000000001</c:v>
              </c:pt>
              <c:pt idx="65">
                <c:v>12.7309</c:v>
              </c:pt>
              <c:pt idx="66">
                <c:v>13.377000000000001</c:v>
              </c:pt>
              <c:pt idx="67">
                <c:v>14.023100000000001</c:v>
              </c:pt>
              <c:pt idx="68">
                <c:v>14.669200000000002</c:v>
              </c:pt>
              <c:pt idx="69">
                <c:v>15.315299999999999</c:v>
              </c:pt>
              <c:pt idx="70">
                <c:v>15.961399999999999</c:v>
              </c:pt>
              <c:pt idx="71">
                <c:v>16.607500000000002</c:v>
              </c:pt>
              <c:pt idx="72">
                <c:v>17.253599999999999</c:v>
              </c:pt>
              <c:pt idx="73">
                <c:v>17.899699999999999</c:v>
              </c:pt>
              <c:pt idx="74">
                <c:v>18.545799999999996</c:v>
              </c:pt>
              <c:pt idx="75">
                <c:v>19.191899999999997</c:v>
              </c:pt>
              <c:pt idx="76">
                <c:v>19.838000000000001</c:v>
              </c:pt>
              <c:pt idx="77">
                <c:v>20.484100000000002</c:v>
              </c:pt>
              <c:pt idx="78">
                <c:v>21.130200000000002</c:v>
              </c:pt>
              <c:pt idx="79">
                <c:v>21.776299999999999</c:v>
              </c:pt>
              <c:pt idx="80">
                <c:v>22.4224</c:v>
              </c:pt>
              <c:pt idx="81">
                <c:v>23.0685</c:v>
              </c:pt>
              <c:pt idx="82">
                <c:v>23.714600000000001</c:v>
              </c:pt>
              <c:pt idx="83">
                <c:v>24.360700000000001</c:v>
              </c:pt>
              <c:pt idx="84">
                <c:v>25.006799999999998</c:v>
              </c:pt>
              <c:pt idx="85">
                <c:v>25.652899999999999</c:v>
              </c:pt>
              <c:pt idx="86">
                <c:v>26.298999999999999</c:v>
              </c:pt>
              <c:pt idx="87">
                <c:v>26.945099999999996</c:v>
              </c:pt>
              <c:pt idx="88">
                <c:v>27.591200000000001</c:v>
              </c:pt>
              <c:pt idx="89">
                <c:v>28.237299999999998</c:v>
              </c:pt>
              <c:pt idx="90">
                <c:v>28.883400000000002</c:v>
              </c:pt>
              <c:pt idx="91">
                <c:v>29.529499999999999</c:v>
              </c:pt>
              <c:pt idx="92">
                <c:v>30.175599999999996</c:v>
              </c:pt>
              <c:pt idx="93">
                <c:v>30.8217</c:v>
              </c:pt>
              <c:pt idx="94">
                <c:v>31.467799999999997</c:v>
              </c:pt>
              <c:pt idx="95">
                <c:v>32.113900000000001</c:v>
              </c:pt>
              <c:pt idx="96">
                <c:v>32.76</c:v>
              </c:pt>
              <c:pt idx="97">
                <c:v>33.406099999999995</c:v>
              </c:pt>
              <c:pt idx="98">
                <c:v>34.052199999999999</c:v>
              </c:pt>
              <c:pt idx="99">
                <c:v>34.698299999999996</c:v>
              </c:pt>
              <c:pt idx="100">
                <c:v>35.3444</c:v>
              </c:pt>
              <c:pt idx="101">
                <c:v>35.990499999999997</c:v>
              </c:pt>
              <c:pt idx="102">
                <c:v>36.636599999999994</c:v>
              </c:pt>
              <c:pt idx="103">
                <c:v>37.282699999999998</c:v>
              </c:pt>
              <c:pt idx="104">
                <c:v>37.928799999999995</c:v>
              </c:pt>
              <c:pt idx="105">
                <c:v>38.5749</c:v>
              </c:pt>
              <c:pt idx="106">
                <c:v>39.221000000000004</c:v>
              </c:pt>
              <c:pt idx="107">
                <c:v>39.867100000000001</c:v>
              </c:pt>
              <c:pt idx="108">
                <c:v>40.513200000000005</c:v>
              </c:pt>
              <c:pt idx="109">
                <c:v>41.159300000000002</c:v>
              </c:pt>
              <c:pt idx="110">
                <c:v>41.805400000000006</c:v>
              </c:pt>
              <c:pt idx="111">
                <c:v>42.451500000000003</c:v>
              </c:pt>
            </c:numLit>
          </c:yVal>
          <c:smooth val="0"/>
        </c:ser>
        <c:dLbls>
          <c:showLegendKey val="0"/>
          <c:showVal val="0"/>
          <c:showCatName val="0"/>
          <c:showSerName val="0"/>
          <c:showPercent val="0"/>
          <c:showBubbleSize val="0"/>
        </c:dLbls>
        <c:axId val="256975424"/>
        <c:axId val="256976000"/>
      </c:scatterChart>
      <c:valAx>
        <c:axId val="256975424"/>
        <c:scaling>
          <c:orientation val="minMax"/>
        </c:scaling>
        <c:delete val="0"/>
        <c:axPos val="b"/>
        <c:title>
          <c:tx>
            <c:rich>
              <a:bodyPr/>
              <a:lstStyle/>
              <a:p>
                <a:pPr>
                  <a:defRPr sz="1200" b="1" i="0" u="none" strike="noStrike" baseline="0">
                    <a:solidFill>
                      <a:srgbClr val="000000"/>
                    </a:solidFill>
                    <a:latin typeface="Arial"/>
                    <a:ea typeface="Arial"/>
                    <a:cs typeface="Arial"/>
                  </a:defRPr>
                </a:pPr>
                <a:r>
                  <a:t>Nadelmasse in kg TS</a:t>
                </a:r>
              </a:p>
            </c:rich>
          </c:tx>
          <c:layout>
            <c:manualLayout>
              <c:xMode val="edge"/>
              <c:yMode val="edge"/>
              <c:x val="0.40871088631779717"/>
              <c:y val="0.8175201906558666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976000"/>
        <c:crosses val="autoZero"/>
        <c:crossBetween val="midCat"/>
      </c:valAx>
      <c:valAx>
        <c:axId val="256976000"/>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t>Höhe in m</a:t>
                </a:r>
              </a:p>
            </c:rich>
          </c:tx>
          <c:layout>
            <c:manualLayout>
              <c:xMode val="edge"/>
              <c:yMode val="edge"/>
              <c:x val="2.6800713856904735E-2"/>
              <c:y val="0.4209255743555503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256975424"/>
        <c:crosses val="autoZero"/>
        <c:crossBetween val="midCat"/>
      </c:valAx>
      <c:spPr>
        <a:solidFill>
          <a:srgbClr val="C0C0C0"/>
        </a:solidFill>
        <a:ln w="12700">
          <a:solidFill>
            <a:srgbClr val="808080"/>
          </a:solidFill>
          <a:prstDash val="solid"/>
        </a:ln>
      </c:spPr>
    </c:plotArea>
    <c:legend>
      <c:legendPos val="b"/>
      <c:layout>
        <c:manualLayout>
          <c:xMode val="edge"/>
          <c:yMode val="edge"/>
          <c:x val="0.34840928013976152"/>
          <c:y val="0.91727711868232653"/>
          <c:w val="0.40033566323751446"/>
          <c:h val="6.5693586749132143E-2"/>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1</xdr:col>
      <xdr:colOff>19050</xdr:colOff>
      <xdr:row>84</xdr:row>
      <xdr:rowOff>133350</xdr:rowOff>
    </xdr:from>
    <xdr:to>
      <xdr:col>6</xdr:col>
      <xdr:colOff>209550</xdr:colOff>
      <xdr:row>98</xdr:row>
      <xdr:rowOff>38100</xdr:rowOff>
    </xdr:to>
    <xdr:graphicFrame macro="">
      <xdr:nvGraphicFramePr>
        <xdr:cNvPr id="307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85</xdr:row>
      <xdr:rowOff>0</xdr:rowOff>
    </xdr:from>
    <xdr:to>
      <xdr:col>12</xdr:col>
      <xdr:colOff>542925</xdr:colOff>
      <xdr:row>100</xdr:row>
      <xdr:rowOff>9525</xdr:rowOff>
    </xdr:to>
    <xdr:graphicFrame macro="">
      <xdr:nvGraphicFramePr>
        <xdr:cNvPr id="307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103</xdr:row>
      <xdr:rowOff>0</xdr:rowOff>
    </xdr:from>
    <xdr:to>
      <xdr:col>6</xdr:col>
      <xdr:colOff>190500</xdr:colOff>
      <xdr:row>115</xdr:row>
      <xdr:rowOff>95250</xdr:rowOff>
    </xdr:to>
    <xdr:graphicFrame macro="">
      <xdr:nvGraphicFramePr>
        <xdr:cNvPr id="307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333375</xdr:colOff>
      <xdr:row>100</xdr:row>
      <xdr:rowOff>133350</xdr:rowOff>
    </xdr:from>
    <xdr:to>
      <xdr:col>10</xdr:col>
      <xdr:colOff>190500</xdr:colOff>
      <xdr:row>114</xdr:row>
      <xdr:rowOff>0</xdr:rowOff>
    </xdr:to>
    <xdr:graphicFrame macro="">
      <xdr:nvGraphicFramePr>
        <xdr:cNvPr id="3076"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257175</xdr:colOff>
      <xdr:row>117</xdr:row>
      <xdr:rowOff>152400</xdr:rowOff>
    </xdr:from>
    <xdr:to>
      <xdr:col>8</xdr:col>
      <xdr:colOff>419100</xdr:colOff>
      <xdr:row>133</xdr:row>
      <xdr:rowOff>85725</xdr:rowOff>
    </xdr:to>
    <xdr:graphicFrame macro="">
      <xdr:nvGraphicFramePr>
        <xdr:cNvPr id="307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20</xdr:row>
      <xdr:rowOff>9525</xdr:rowOff>
    </xdr:from>
    <xdr:to>
      <xdr:col>10</xdr:col>
      <xdr:colOff>114300</xdr:colOff>
      <xdr:row>43</xdr:row>
      <xdr:rowOff>152400</xdr:rowOff>
    </xdr:to>
    <xdr:graphicFrame macro="">
      <xdr:nvGraphicFramePr>
        <xdr:cNvPr id="409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0.50591</cdr:x>
      <cdr:y>0.46879</cdr:y>
    </cdr:from>
    <cdr:to>
      <cdr:x>0.53249</cdr:x>
      <cdr:y>0.48951</cdr:y>
    </cdr:to>
    <cdr:sp macro="" textlink="">
      <cdr:nvSpPr>
        <cdr:cNvPr id="5121" name="Text Box 1"/>
        <cdr:cNvSpPr txBox="1">
          <a:spLocks xmlns:a="http://schemas.openxmlformats.org/drawingml/2006/main" noChangeArrowheads="1"/>
        </cdr:cNvSpPr>
      </cdr:nvSpPr>
      <cdr:spPr bwMode="auto">
        <a:xfrm xmlns:a="http://schemas.openxmlformats.org/drawingml/2006/main">
          <a:off x="3145015" y="1820507"/>
          <a:ext cx="165107" cy="803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00" b="0" i="0" u="none" strike="noStrike" baseline="0">
              <a:solidFill>
                <a:srgbClr val="000000"/>
              </a:solidFill>
              <a:latin typeface="Arial"/>
              <a:cs typeface="Arial"/>
            </a:rPr>
            <a:t>aaa</a:t>
          </a:r>
        </a:p>
      </cdr:txBody>
    </cdr:sp>
  </cdr:relSizeAnchor>
</c:userShapes>
</file>

<file path=xl/drawings/drawing4.xml><?xml version="1.0" encoding="utf-8"?>
<xdr:wsDr xmlns:xdr="http://schemas.openxmlformats.org/drawingml/2006/spreadsheetDrawing" xmlns:a="http://schemas.openxmlformats.org/drawingml/2006/main">
  <xdr:twoCellAnchor>
    <xdr:from>
      <xdr:col>11</xdr:col>
      <xdr:colOff>428625</xdr:colOff>
      <xdr:row>3</xdr:row>
      <xdr:rowOff>0</xdr:rowOff>
    </xdr:from>
    <xdr:to>
      <xdr:col>19</xdr:col>
      <xdr:colOff>47625</xdr:colOff>
      <xdr:row>26</xdr:row>
      <xdr:rowOff>152400</xdr:rowOff>
    </xdr:to>
    <xdr:graphicFrame macro="">
      <xdr:nvGraphicFramePr>
        <xdr:cNvPr id="614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342900</xdr:colOff>
      <xdr:row>3</xdr:row>
      <xdr:rowOff>0</xdr:rowOff>
    </xdr:from>
    <xdr:to>
      <xdr:col>27</xdr:col>
      <xdr:colOff>447675</xdr:colOff>
      <xdr:row>26</xdr:row>
      <xdr:rowOff>152400</xdr:rowOff>
    </xdr:to>
    <xdr:graphicFrame macro="">
      <xdr:nvGraphicFramePr>
        <xdr:cNvPr id="614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485775</xdr:colOff>
      <xdr:row>28</xdr:row>
      <xdr:rowOff>0</xdr:rowOff>
    </xdr:from>
    <xdr:to>
      <xdr:col>19</xdr:col>
      <xdr:colOff>76200</xdr:colOff>
      <xdr:row>52</xdr:row>
      <xdr:rowOff>28575</xdr:rowOff>
    </xdr:to>
    <xdr:graphicFrame macro="">
      <xdr:nvGraphicFramePr>
        <xdr:cNvPr id="614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447675</xdr:colOff>
      <xdr:row>56</xdr:row>
      <xdr:rowOff>28575</xdr:rowOff>
    </xdr:from>
    <xdr:to>
      <xdr:col>33</xdr:col>
      <xdr:colOff>104775</xdr:colOff>
      <xdr:row>78</xdr:row>
      <xdr:rowOff>28575</xdr:rowOff>
    </xdr:to>
    <xdr:graphicFrame macro="">
      <xdr:nvGraphicFramePr>
        <xdr:cNvPr id="6155"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742950</xdr:colOff>
      <xdr:row>35</xdr:row>
      <xdr:rowOff>19050</xdr:rowOff>
    </xdr:from>
    <xdr:to>
      <xdr:col>27</xdr:col>
      <xdr:colOff>390525</xdr:colOff>
      <xdr:row>52</xdr:row>
      <xdr:rowOff>95250</xdr:rowOff>
    </xdr:to>
    <xdr:graphicFrame macro="">
      <xdr:nvGraphicFramePr>
        <xdr:cNvPr id="6156"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285750</xdr:colOff>
      <xdr:row>58</xdr:row>
      <xdr:rowOff>38100</xdr:rowOff>
    </xdr:from>
    <xdr:to>
      <xdr:col>24</xdr:col>
      <xdr:colOff>266700</xdr:colOff>
      <xdr:row>80</xdr:row>
      <xdr:rowOff>38100</xdr:rowOff>
    </xdr:to>
    <xdr:graphicFrame macro="">
      <xdr:nvGraphicFramePr>
        <xdr:cNvPr id="71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0</xdr:colOff>
      <xdr:row>82</xdr:row>
      <xdr:rowOff>0</xdr:rowOff>
    </xdr:from>
    <xdr:to>
      <xdr:col>24</xdr:col>
      <xdr:colOff>0</xdr:colOff>
      <xdr:row>103</xdr:row>
      <xdr:rowOff>104775</xdr:rowOff>
    </xdr:to>
    <xdr:graphicFrame macro="">
      <xdr:nvGraphicFramePr>
        <xdr:cNvPr id="717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9</xdr:col>
      <xdr:colOff>66675</xdr:colOff>
      <xdr:row>1</xdr:row>
      <xdr:rowOff>76200</xdr:rowOff>
    </xdr:from>
    <xdr:to>
      <xdr:col>16</xdr:col>
      <xdr:colOff>628650</xdr:colOff>
      <xdr:row>25</xdr:row>
      <xdr:rowOff>28575</xdr:rowOff>
    </xdr:to>
    <xdr:graphicFrame macro="">
      <xdr:nvGraphicFramePr>
        <xdr:cNvPr id="819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752475</xdr:colOff>
      <xdr:row>5</xdr:row>
      <xdr:rowOff>0</xdr:rowOff>
    </xdr:from>
    <xdr:to>
      <xdr:col>15</xdr:col>
      <xdr:colOff>552450</xdr:colOff>
      <xdr:row>28</xdr:row>
      <xdr:rowOff>114300</xdr:rowOff>
    </xdr:to>
    <xdr:graphicFrame macro="">
      <xdr:nvGraphicFramePr>
        <xdr:cNvPr id="921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4</xdr:col>
      <xdr:colOff>504825</xdr:colOff>
      <xdr:row>11</xdr:row>
      <xdr:rowOff>133350</xdr:rowOff>
    </xdr:from>
    <xdr:to>
      <xdr:col>14</xdr:col>
      <xdr:colOff>304800</xdr:colOff>
      <xdr:row>35</xdr:row>
      <xdr:rowOff>85725</xdr:rowOff>
    </xdr:to>
    <xdr:graphicFrame macro="">
      <xdr:nvGraphicFramePr>
        <xdr:cNvPr id="1024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uglas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rtelink"/>
      <sheetName val="Bartel-1"/>
      <sheetName val="Bartel-2"/>
      <sheetName val="Bartel.-3 SAP"/>
      <sheetName val="Bartel.-4 STEM"/>
      <sheetName val="Bartel.-5 KrR"/>
      <sheetName val="Bartel.-6 TSNd."/>
      <sheetName val="Brix&amp;Mitchell"/>
      <sheetName val="BurgerTab.1"/>
      <sheetName val="BurDG_T.3Gew."/>
      <sheetName val="BurDG_T.5Wass"/>
      <sheetName val="BurDG_T.6Wass"/>
      <sheetName val="BurDG_T.11SplKern"/>
      <sheetName val="BurDG_T.13Biom"/>
      <sheetName val="BurDG_T.14Nadeln"/>
      <sheetName val="BurDG_T.15Ndm"/>
      <sheetName val="BurDG_T.16NdmTS"/>
      <sheetName val="CannellDG_alle"/>
      <sheetName val="CannellDG"/>
      <sheetName val="Chen JA"/>
      <sheetName val="Fröhlich_alle"/>
      <sheetName val="Lyr, Hoffm., Engel JA"/>
      <sheetName val="Hasenauer"/>
      <sheetName val="Künstle&amp;Mitsch."/>
      <sheetName val="Krischer"/>
      <sheetName val="Ponette JA"/>
      <sheetName val="Ranger JA"/>
      <sheetName val="Takos"/>
      <sheetName val="Turner"/>
      <sheetName val="##KrR_DG"/>
      <sheetName val="##BlattmasseHöheDG"/>
      <sheetName val="##KrR_DG JA"/>
      <sheetName val="##BlattmasseHöheDG JA"/>
    </sheetNames>
    <sheetDataSet>
      <sheetData sheetId="0"/>
      <sheetData sheetId="1">
        <row r="5">
          <cell r="C5" t="str">
            <v>d</v>
          </cell>
        </row>
        <row r="6">
          <cell r="C6" t="str">
            <v>d</v>
          </cell>
        </row>
        <row r="7">
          <cell r="C7" t="str">
            <v>d</v>
          </cell>
        </row>
        <row r="8">
          <cell r="C8" t="str">
            <v>d</v>
          </cell>
        </row>
        <row r="9">
          <cell r="C9" t="str">
            <v>d</v>
          </cell>
        </row>
        <row r="10">
          <cell r="C10" t="str">
            <v>d</v>
          </cell>
        </row>
        <row r="11">
          <cell r="C11" t="str">
            <v>d</v>
          </cell>
        </row>
        <row r="12">
          <cell r="C12" t="str">
            <v>d</v>
          </cell>
        </row>
        <row r="13">
          <cell r="C13" t="str">
            <v>d</v>
          </cell>
        </row>
        <row r="14">
          <cell r="C14" t="str">
            <v>d</v>
          </cell>
        </row>
        <row r="15">
          <cell r="C15" t="str">
            <v>d</v>
          </cell>
        </row>
        <row r="16">
          <cell r="C16" t="str">
            <v>s</v>
          </cell>
        </row>
        <row r="17">
          <cell r="C17" t="str">
            <v>s</v>
          </cell>
        </row>
        <row r="18">
          <cell r="C18" t="str">
            <v>s</v>
          </cell>
        </row>
        <row r="19">
          <cell r="C19" t="str">
            <v>s</v>
          </cell>
        </row>
        <row r="20">
          <cell r="C20" t="str">
            <v>s</v>
          </cell>
        </row>
        <row r="21">
          <cell r="C21" t="str">
            <v>s</v>
          </cell>
        </row>
        <row r="22">
          <cell r="C22" t="str">
            <v>s</v>
          </cell>
        </row>
        <row r="23">
          <cell r="C23" t="str">
            <v>s</v>
          </cell>
        </row>
        <row r="24">
          <cell r="C24" t="str">
            <v>s</v>
          </cell>
        </row>
        <row r="25">
          <cell r="C25" t="str">
            <v>s</v>
          </cell>
        </row>
        <row r="26">
          <cell r="C26" t="str">
            <v>s</v>
          </cell>
        </row>
        <row r="27">
          <cell r="C27" t="str">
            <v>s</v>
          </cell>
        </row>
      </sheetData>
      <sheetData sheetId="2" refreshError="1"/>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workbookViewId="0">
      <selection activeCell="C26" sqref="C26"/>
    </sheetView>
  </sheetViews>
  <sheetFormatPr baseColWidth="10" defaultRowHeight="12.75" x14ac:dyDescent="0.2"/>
  <cols>
    <col min="1" max="1" width="10.5703125" bestFit="1" customWidth="1"/>
    <col min="2" max="2" width="15" bestFit="1" customWidth="1"/>
    <col min="3" max="256" width="9.140625" customWidth="1"/>
  </cols>
  <sheetData>
    <row r="1" spans="1:3" x14ac:dyDescent="0.2">
      <c r="A1" s="7" t="s">
        <v>980</v>
      </c>
      <c r="B1" s="7" t="s">
        <v>21</v>
      </c>
      <c r="C1" s="7" t="s">
        <v>981</v>
      </c>
    </row>
    <row r="2" spans="1:3" x14ac:dyDescent="0.2">
      <c r="A2" s="44" t="s">
        <v>683</v>
      </c>
      <c r="B2" s="72"/>
      <c r="C2" s="44" t="s">
        <v>670</v>
      </c>
    </row>
    <row r="3" spans="1:3" x14ac:dyDescent="0.2">
      <c r="A3" t="s">
        <v>983</v>
      </c>
      <c r="B3" s="10" t="s">
        <v>25</v>
      </c>
      <c r="C3" t="s">
        <v>984</v>
      </c>
    </row>
    <row r="4" spans="1:3" x14ac:dyDescent="0.2">
      <c r="A4" t="s">
        <v>982</v>
      </c>
      <c r="B4" t="s">
        <v>22</v>
      </c>
      <c r="C4" t="s">
        <v>261</v>
      </c>
    </row>
    <row r="5" spans="1:3" x14ac:dyDescent="0.2">
      <c r="A5" t="s">
        <v>985</v>
      </c>
      <c r="B5" t="s">
        <v>310</v>
      </c>
      <c r="C5" s="7" t="s">
        <v>242</v>
      </c>
    </row>
    <row r="6" spans="1:3" x14ac:dyDescent="0.2">
      <c r="A6" t="s">
        <v>684</v>
      </c>
      <c r="B6" s="73"/>
      <c r="C6" t="s">
        <v>447</v>
      </c>
    </row>
    <row r="7" spans="1:3" x14ac:dyDescent="0.2">
      <c r="A7" t="s">
        <v>20</v>
      </c>
      <c r="B7" t="s">
        <v>26</v>
      </c>
      <c r="C7" t="s">
        <v>301</v>
      </c>
    </row>
    <row r="8" spans="1:3" x14ac:dyDescent="0.2">
      <c r="A8" t="s">
        <v>27</v>
      </c>
      <c r="B8" s="73"/>
      <c r="C8" s="12" t="s">
        <v>227</v>
      </c>
    </row>
    <row r="9" spans="1:3" x14ac:dyDescent="0.2">
      <c r="A9" t="s">
        <v>29</v>
      </c>
      <c r="B9" s="73"/>
      <c r="C9" t="s">
        <v>229</v>
      </c>
    </row>
    <row r="10" spans="1:3" x14ac:dyDescent="0.2">
      <c r="A10" t="s">
        <v>32</v>
      </c>
      <c r="B10" t="s">
        <v>45</v>
      </c>
      <c r="C10" s="5" t="s">
        <v>679</v>
      </c>
    </row>
    <row r="11" spans="1:3" x14ac:dyDescent="0.2">
      <c r="A11" t="s">
        <v>34</v>
      </c>
      <c r="B11" t="s">
        <v>37</v>
      </c>
      <c r="C11" s="5" t="s">
        <v>33</v>
      </c>
    </row>
    <row r="12" spans="1:3" x14ac:dyDescent="0.2">
      <c r="A12" t="s">
        <v>38</v>
      </c>
      <c r="B12" t="s">
        <v>870</v>
      </c>
      <c r="C12" s="5" t="s">
        <v>958</v>
      </c>
    </row>
    <row r="13" spans="1:3" x14ac:dyDescent="0.2">
      <c r="A13" t="s">
        <v>207</v>
      </c>
      <c r="B13" s="8" t="s">
        <v>289</v>
      </c>
      <c r="C13" s="5" t="s">
        <v>959</v>
      </c>
    </row>
    <row r="14" spans="1:3" x14ac:dyDescent="0.2">
      <c r="A14" t="s">
        <v>906</v>
      </c>
      <c r="B14">
        <v>15.220588235294118</v>
      </c>
      <c r="C14" s="5" t="s">
        <v>280</v>
      </c>
    </row>
    <row r="15" spans="1:3" x14ac:dyDescent="0.2">
      <c r="A15" t="s">
        <v>907</v>
      </c>
      <c r="B15">
        <v>3.6666666666666665</v>
      </c>
      <c r="C15" s="5" t="s">
        <v>280</v>
      </c>
    </row>
    <row r="16" spans="1:3" x14ac:dyDescent="0.2">
      <c r="A16" t="s">
        <v>908</v>
      </c>
      <c r="B16">
        <v>1.6212624584717608</v>
      </c>
      <c r="C16" s="5" t="s">
        <v>280</v>
      </c>
    </row>
    <row r="17" spans="1:3" x14ac:dyDescent="0.2">
      <c r="A17" t="s">
        <v>909</v>
      </c>
      <c r="B17">
        <v>3.6177606177606179</v>
      </c>
      <c r="C17" s="5" t="s">
        <v>280</v>
      </c>
    </row>
    <row r="18" spans="1:3" x14ac:dyDescent="0.2">
      <c r="A18" t="s">
        <v>910</v>
      </c>
      <c r="B18">
        <v>1.0347788750536711</v>
      </c>
      <c r="C18" s="5" t="s">
        <v>280</v>
      </c>
    </row>
    <row r="19" spans="1:3" x14ac:dyDescent="0.2">
      <c r="A19" t="s">
        <v>362</v>
      </c>
      <c r="B19">
        <v>0.54084265528820108</v>
      </c>
      <c r="C19" s="5" t="s">
        <v>962</v>
      </c>
    </row>
    <row r="20" spans="1:3" x14ac:dyDescent="0.2">
      <c r="A20" t="s">
        <v>896</v>
      </c>
      <c r="B20">
        <v>0.53749999999999998</v>
      </c>
      <c r="C20" s="5" t="s">
        <v>280</v>
      </c>
    </row>
    <row r="21" spans="1:3" x14ac:dyDescent="0.2">
      <c r="A21" t="s">
        <v>303</v>
      </c>
      <c r="B21" t="s">
        <v>423</v>
      </c>
      <c r="C21" s="5" t="s">
        <v>424</v>
      </c>
    </row>
    <row r="22" spans="1:3" x14ac:dyDescent="0.2">
      <c r="A22" t="s">
        <v>309</v>
      </c>
      <c r="B22" t="s">
        <v>872</v>
      </c>
      <c r="C22" s="5" t="s">
        <v>871</v>
      </c>
    </row>
    <row r="23" spans="1:3" x14ac:dyDescent="0.2">
      <c r="A23" t="s">
        <v>744</v>
      </c>
      <c r="B23" s="8">
        <v>40</v>
      </c>
      <c r="C23" s="5" t="s">
        <v>693</v>
      </c>
    </row>
    <row r="24" spans="1:3" x14ac:dyDescent="0.2">
      <c r="A24" t="s">
        <v>421</v>
      </c>
      <c r="B24" s="8">
        <v>8.1286999999999998E-2</v>
      </c>
      <c r="C24" s="5" t="s">
        <v>694</v>
      </c>
    </row>
    <row r="25" spans="1:3" x14ac:dyDescent="0.2">
      <c r="A25" t="s">
        <v>43</v>
      </c>
      <c r="B25">
        <v>2.82</v>
      </c>
      <c r="C25" t="s">
        <v>12</v>
      </c>
    </row>
    <row r="26" spans="1:3" x14ac:dyDescent="0.2">
      <c r="A26" t="s">
        <v>685</v>
      </c>
      <c r="B26" s="86">
        <v>4.87</v>
      </c>
      <c r="C26" s="44" t="s">
        <v>817</v>
      </c>
    </row>
    <row r="27" spans="1:3" x14ac:dyDescent="0.2">
      <c r="A27" t="s">
        <v>314</v>
      </c>
      <c r="B27">
        <v>45</v>
      </c>
      <c r="C27" t="s">
        <v>313</v>
      </c>
    </row>
    <row r="28" spans="1:3" x14ac:dyDescent="0.2">
      <c r="A28" t="s">
        <v>686</v>
      </c>
      <c r="B28" s="74"/>
      <c r="C28" t="s">
        <v>83</v>
      </c>
    </row>
    <row r="29" spans="1:3" x14ac:dyDescent="0.2">
      <c r="A29" t="s">
        <v>874</v>
      </c>
      <c r="B29" t="s">
        <v>875</v>
      </c>
      <c r="C29" s="5" t="s">
        <v>876</v>
      </c>
    </row>
    <row r="30" spans="1:3" x14ac:dyDescent="0.2">
      <c r="A30" t="s">
        <v>688</v>
      </c>
      <c r="B30" s="74"/>
      <c r="C30" s="5" t="s">
        <v>796</v>
      </c>
    </row>
    <row r="31" spans="1:3" x14ac:dyDescent="0.2">
      <c r="A31" t="s">
        <v>651</v>
      </c>
      <c r="B31" s="45"/>
      <c r="C31" s="12" t="s">
        <v>828</v>
      </c>
    </row>
    <row r="32" spans="1:3" x14ac:dyDescent="0.2">
      <c r="A32" t="s">
        <v>471</v>
      </c>
      <c r="B32" s="45"/>
      <c r="C32" s="5" t="s">
        <v>523</v>
      </c>
    </row>
    <row r="33" spans="1:3" x14ac:dyDescent="0.2">
      <c r="A33" t="s">
        <v>463</v>
      </c>
      <c r="B33" s="45"/>
      <c r="C33" t="s">
        <v>473</v>
      </c>
    </row>
    <row r="34" spans="1:3" x14ac:dyDescent="0.2">
      <c r="A34" t="s">
        <v>493</v>
      </c>
      <c r="B34" s="45"/>
      <c r="C34" t="s">
        <v>604</v>
      </c>
    </row>
    <row r="35" spans="1:3" x14ac:dyDescent="0.2">
      <c r="A35" t="s">
        <v>627</v>
      </c>
      <c r="B35" s="45"/>
      <c r="C35" t="s">
        <v>716</v>
      </c>
    </row>
    <row r="39" spans="1:3" x14ac:dyDescent="0.2">
      <c r="A39" t="s">
        <v>689</v>
      </c>
    </row>
    <row r="40" spans="1:3" x14ac:dyDescent="0.2">
      <c r="A40" s="74"/>
      <c r="B40" t="s">
        <v>690</v>
      </c>
    </row>
    <row r="41" spans="1:3" x14ac:dyDescent="0.2">
      <c r="A41" s="73"/>
      <c r="B41" t="s">
        <v>691</v>
      </c>
    </row>
    <row r="42" spans="1:3" x14ac:dyDescent="0.2">
      <c r="A42" s="45"/>
      <c r="B42" t="s">
        <v>692</v>
      </c>
    </row>
    <row r="43" spans="1:3" x14ac:dyDescent="0.2">
      <c r="A43" s="7" t="s">
        <v>13</v>
      </c>
      <c r="B43" t="s">
        <v>14</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workbookViewId="0">
      <selection activeCell="B29" sqref="B29"/>
    </sheetView>
  </sheetViews>
  <sheetFormatPr baseColWidth="10" defaultRowHeight="12.75" x14ac:dyDescent="0.2"/>
  <cols>
    <col min="1" max="256" width="9.140625" customWidth="1"/>
  </cols>
  <sheetData>
    <row r="1" spans="1:2" x14ac:dyDescent="0.2">
      <c r="A1" s="7" t="s">
        <v>976</v>
      </c>
      <c r="B1" t="s">
        <v>30</v>
      </c>
    </row>
    <row r="2" spans="1:2" x14ac:dyDescent="0.2">
      <c r="A2" s="7" t="s">
        <v>977</v>
      </c>
      <c r="B2" t="s">
        <v>31</v>
      </c>
    </row>
    <row r="9" spans="1:2" x14ac:dyDescent="0.2">
      <c r="A9" s="7" t="s">
        <v>976</v>
      </c>
      <c r="B9" t="s">
        <v>41</v>
      </c>
    </row>
    <row r="10" spans="1:2" x14ac:dyDescent="0.2">
      <c r="A10" s="7" t="s">
        <v>977</v>
      </c>
      <c r="B10" t="s">
        <v>44</v>
      </c>
    </row>
    <row r="13" spans="1:2" x14ac:dyDescent="0.2">
      <c r="A13" s="7" t="s">
        <v>976</v>
      </c>
      <c r="B13" t="s">
        <v>221</v>
      </c>
    </row>
    <row r="14" spans="1:2" x14ac:dyDescent="0.2">
      <c r="A14" s="7" t="s">
        <v>977</v>
      </c>
      <c r="B14" t="s">
        <v>223</v>
      </c>
    </row>
    <row r="17" spans="1:2" x14ac:dyDescent="0.2">
      <c r="A17" s="7" t="s">
        <v>976</v>
      </c>
      <c r="B17" t="s">
        <v>224</v>
      </c>
    </row>
    <row r="18" spans="1:2" x14ac:dyDescent="0.2">
      <c r="A18" s="7" t="s">
        <v>977</v>
      </c>
      <c r="B18" t="s">
        <v>230</v>
      </c>
    </row>
    <row r="20" spans="1:2" x14ac:dyDescent="0.2">
      <c r="A20" s="7" t="s">
        <v>976</v>
      </c>
      <c r="B20" t="s">
        <v>251</v>
      </c>
    </row>
    <row r="21" spans="1:2" x14ac:dyDescent="0.2">
      <c r="A21" s="7" t="s">
        <v>977</v>
      </c>
      <c r="B21" t="s">
        <v>252</v>
      </c>
    </row>
    <row r="23" spans="1:2" x14ac:dyDescent="0.2">
      <c r="A23" s="7" t="s">
        <v>976</v>
      </c>
      <c r="B23" t="s">
        <v>311</v>
      </c>
    </row>
    <row r="24" spans="1:2" x14ac:dyDescent="0.2">
      <c r="A24" s="7" t="s">
        <v>977</v>
      </c>
      <c r="B24" t="s">
        <v>315</v>
      </c>
    </row>
    <row r="26" spans="1:2" x14ac:dyDescent="0.2">
      <c r="A26" s="7" t="s">
        <v>976</v>
      </c>
      <c r="B26" t="s">
        <v>747</v>
      </c>
    </row>
    <row r="27" spans="1:2" x14ac:dyDescent="0.2">
      <c r="A27" s="7" t="s">
        <v>977</v>
      </c>
      <c r="B27" t="s">
        <v>748</v>
      </c>
    </row>
    <row r="29" spans="1:2" x14ac:dyDescent="0.2">
      <c r="A29" s="7" t="s">
        <v>976</v>
      </c>
      <c r="B29" t="s">
        <v>668</v>
      </c>
    </row>
    <row r="30" spans="1:2" x14ac:dyDescent="0.2">
      <c r="A30" s="7" t="s">
        <v>977</v>
      </c>
      <c r="B30" t="s">
        <v>671</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sqref="A1:B15"/>
    </sheetView>
  </sheetViews>
  <sheetFormatPr baseColWidth="10" defaultRowHeight="12.75" x14ac:dyDescent="0.2"/>
  <cols>
    <col min="1" max="256" width="9.140625" customWidth="1"/>
  </cols>
  <sheetData>
    <row r="1" spans="1:2" x14ac:dyDescent="0.2">
      <c r="A1" s="7" t="s">
        <v>976</v>
      </c>
      <c r="B1" t="s">
        <v>30</v>
      </c>
    </row>
    <row r="2" spans="1:2" x14ac:dyDescent="0.2">
      <c r="A2" s="7"/>
    </row>
    <row r="6" spans="1:2" x14ac:dyDescent="0.2">
      <c r="A6" s="7"/>
    </row>
    <row r="7" spans="1:2" x14ac:dyDescent="0.2">
      <c r="A7" s="7" t="s">
        <v>977</v>
      </c>
      <c r="B7" t="s">
        <v>36</v>
      </c>
    </row>
    <row r="14" spans="1:2" x14ac:dyDescent="0.2">
      <c r="A14" s="7" t="s">
        <v>976</v>
      </c>
    </row>
    <row r="15" spans="1:2" x14ac:dyDescent="0.2">
      <c r="A15" s="7" t="s">
        <v>977</v>
      </c>
    </row>
  </sheetData>
  <phoneticPr fontId="2" type="noConversion"/>
  <pageMargins left="0.78740157499999996" right="0.78740157499999996" top="0.984251969" bottom="0.984251969"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B23" sqref="B23"/>
    </sheetView>
  </sheetViews>
  <sheetFormatPr baseColWidth="10" defaultRowHeight="12.75" x14ac:dyDescent="0.2"/>
  <cols>
    <col min="1" max="256" width="9.140625" customWidth="1"/>
  </cols>
  <sheetData>
    <row r="1" spans="1:2" x14ac:dyDescent="0.2">
      <c r="A1" s="7" t="s">
        <v>976</v>
      </c>
      <c r="B1" t="s">
        <v>30</v>
      </c>
    </row>
    <row r="2" spans="1:2" x14ac:dyDescent="0.2">
      <c r="A2" s="7"/>
    </row>
    <row r="6" spans="1:2" x14ac:dyDescent="0.2">
      <c r="A6" s="7"/>
    </row>
    <row r="7" spans="1:2" x14ac:dyDescent="0.2">
      <c r="A7" s="7" t="s">
        <v>977</v>
      </c>
      <c r="B7" t="s">
        <v>39</v>
      </c>
    </row>
    <row r="12" spans="1:2" x14ac:dyDescent="0.2">
      <c r="A12" s="7" t="s">
        <v>976</v>
      </c>
      <c r="B12" t="s">
        <v>304</v>
      </c>
    </row>
    <row r="13" spans="1:2" x14ac:dyDescent="0.2">
      <c r="A13" s="7"/>
    </row>
    <row r="17" spans="1:2" x14ac:dyDescent="0.2">
      <c r="A17" s="7"/>
    </row>
    <row r="18" spans="1:2" x14ac:dyDescent="0.2">
      <c r="A18" s="7" t="s">
        <v>977</v>
      </c>
      <c r="B18" t="s">
        <v>869</v>
      </c>
    </row>
    <row r="20" spans="1:2" x14ac:dyDescent="0.2">
      <c r="A20" s="7" t="s">
        <v>976</v>
      </c>
      <c r="B20" s="2" t="s">
        <v>940</v>
      </c>
    </row>
    <row r="21" spans="1:2" x14ac:dyDescent="0.2">
      <c r="A21" s="7" t="s">
        <v>977</v>
      </c>
      <c r="B21" t="s">
        <v>960</v>
      </c>
    </row>
    <row r="22" spans="1:2" x14ac:dyDescent="0.2">
      <c r="B22" t="s">
        <v>961</v>
      </c>
    </row>
  </sheetData>
  <phoneticPr fontId="2" type="noConversion"/>
  <pageMargins left="0.78740157499999996" right="0.78740157499999996" top="0.984251969" bottom="0.984251969"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5"/>
  <sheetViews>
    <sheetView topLeftCell="A230" workbookViewId="0">
      <selection activeCell="A257" sqref="A257:C274"/>
    </sheetView>
  </sheetViews>
  <sheetFormatPr baseColWidth="10" defaultRowHeight="12.75" x14ac:dyDescent="0.2"/>
  <cols>
    <col min="1" max="1" width="10.28515625" bestFit="1" customWidth="1"/>
    <col min="2" max="2" width="9.140625" customWidth="1"/>
    <col min="3" max="3" width="21.42578125" bestFit="1" customWidth="1"/>
    <col min="4" max="10" width="9.140625" customWidth="1"/>
    <col min="11" max="11" width="15.28515625" bestFit="1" customWidth="1"/>
    <col min="12" max="13" width="10" bestFit="1" customWidth="1"/>
    <col min="14" max="256" width="9.140625" customWidth="1"/>
  </cols>
  <sheetData>
    <row r="1" spans="1:15" x14ac:dyDescent="0.2">
      <c r="A1" s="7" t="s">
        <v>976</v>
      </c>
      <c r="B1" s="5" t="s">
        <v>79</v>
      </c>
    </row>
    <row r="2" spans="1:15" x14ac:dyDescent="0.2">
      <c r="A2" s="7"/>
      <c r="B2" s="6" t="s">
        <v>80</v>
      </c>
    </row>
    <row r="3" spans="1:15" x14ac:dyDescent="0.2">
      <c r="A3" s="7" t="s">
        <v>977</v>
      </c>
      <c r="B3" s="4" t="s">
        <v>68</v>
      </c>
      <c r="C3" s="5"/>
      <c r="D3" s="5"/>
      <c r="E3" s="5"/>
      <c r="F3" s="5"/>
      <c r="G3" s="5"/>
      <c r="H3" s="5"/>
      <c r="I3" s="5"/>
      <c r="J3" s="5"/>
      <c r="K3" s="5"/>
      <c r="L3" s="5"/>
      <c r="M3" s="5"/>
    </row>
    <row r="4" spans="1:15" x14ac:dyDescent="0.2">
      <c r="A4" s="7"/>
      <c r="B4" s="4" t="s">
        <v>69</v>
      </c>
      <c r="C4" s="5"/>
      <c r="D4" s="5"/>
      <c r="E4" s="5"/>
      <c r="F4" s="5"/>
      <c r="G4" s="5"/>
      <c r="H4" s="5"/>
      <c r="I4" s="5"/>
      <c r="J4" s="5"/>
      <c r="K4" s="5"/>
      <c r="L4" s="5"/>
      <c r="M4" s="5"/>
    </row>
    <row r="5" spans="1:15" x14ac:dyDescent="0.2">
      <c r="A5" s="7"/>
      <c r="B5" s="6" t="s">
        <v>70</v>
      </c>
      <c r="C5" s="5"/>
      <c r="D5" s="5"/>
      <c r="E5" s="5"/>
      <c r="F5" s="5"/>
      <c r="G5" s="5"/>
      <c r="H5" s="5"/>
      <c r="I5" s="5"/>
      <c r="J5" s="5"/>
      <c r="K5" s="5"/>
      <c r="L5" s="5"/>
      <c r="M5" s="5"/>
    </row>
    <row r="6" spans="1:15" x14ac:dyDescent="0.2">
      <c r="A6" s="7"/>
      <c r="B6" s="5"/>
      <c r="C6" s="6" t="s">
        <v>71</v>
      </c>
      <c r="D6" s="23">
        <v>0</v>
      </c>
      <c r="E6" s="24"/>
      <c r="F6" s="25" t="s">
        <v>72</v>
      </c>
      <c r="G6" s="24"/>
      <c r="H6" s="25" t="s">
        <v>73</v>
      </c>
      <c r="I6" s="24"/>
      <c r="J6" s="25" t="s">
        <v>74</v>
      </c>
      <c r="K6" s="24"/>
      <c r="L6" s="25" t="s">
        <v>75</v>
      </c>
      <c r="M6" s="24"/>
      <c r="N6" s="46" t="s">
        <v>214</v>
      </c>
    </row>
    <row r="7" spans="1:15" x14ac:dyDescent="0.2">
      <c r="A7" s="7"/>
      <c r="B7" s="6" t="s">
        <v>76</v>
      </c>
      <c r="C7" s="6" t="s">
        <v>77</v>
      </c>
      <c r="D7" s="26">
        <v>1</v>
      </c>
      <c r="E7" s="27" t="s">
        <v>78</v>
      </c>
      <c r="F7" s="26">
        <v>0.68</v>
      </c>
      <c r="G7" s="27"/>
      <c r="H7" s="26">
        <v>0.35</v>
      </c>
      <c r="I7" s="27"/>
      <c r="J7" s="26">
        <v>0.12</v>
      </c>
      <c r="K7" s="27"/>
      <c r="L7" s="26">
        <v>0.01</v>
      </c>
      <c r="M7" s="27"/>
    </row>
    <row r="8" spans="1:15" x14ac:dyDescent="0.2">
      <c r="A8" s="7"/>
      <c r="B8" s="5"/>
      <c r="C8" s="5"/>
      <c r="D8" s="5"/>
      <c r="E8" s="16"/>
      <c r="F8" s="5"/>
      <c r="G8" s="16"/>
      <c r="H8" s="5"/>
      <c r="I8" s="16"/>
      <c r="J8" s="5"/>
      <c r="K8" s="16"/>
      <c r="L8" s="5"/>
      <c r="M8" s="16"/>
    </row>
    <row r="9" spans="1:15" x14ac:dyDescent="0.2">
      <c r="B9" s="13" t="s">
        <v>48</v>
      </c>
      <c r="C9" s="13" t="s">
        <v>49</v>
      </c>
      <c r="D9" s="14">
        <v>22.19</v>
      </c>
      <c r="E9" s="15">
        <v>3.46</v>
      </c>
      <c r="F9" s="13">
        <v>20.78</v>
      </c>
      <c r="G9" s="15">
        <v>4.38</v>
      </c>
      <c r="H9" s="14">
        <v>20.54</v>
      </c>
      <c r="I9" s="14">
        <v>3.09</v>
      </c>
      <c r="J9" s="14">
        <v>22.75</v>
      </c>
      <c r="K9" s="14">
        <v>0.64</v>
      </c>
      <c r="L9" s="13">
        <v>22.21</v>
      </c>
      <c r="M9" s="14">
        <v>3.32</v>
      </c>
    </row>
    <row r="10" spans="1:15" x14ac:dyDescent="0.2">
      <c r="B10" s="5"/>
      <c r="C10" s="6" t="s">
        <v>50</v>
      </c>
      <c r="D10" s="5">
        <v>100</v>
      </c>
      <c r="E10" s="16"/>
      <c r="F10" s="6">
        <v>94</v>
      </c>
      <c r="G10" s="16"/>
      <c r="H10" s="5">
        <v>93</v>
      </c>
      <c r="I10" s="5"/>
      <c r="J10" s="5">
        <v>103</v>
      </c>
      <c r="K10" s="5"/>
      <c r="L10" s="6">
        <v>100</v>
      </c>
      <c r="M10" s="5"/>
    </row>
    <row r="11" spans="1:15" x14ac:dyDescent="0.2">
      <c r="B11" s="6" t="s">
        <v>51</v>
      </c>
      <c r="C11" s="6" t="s">
        <v>52</v>
      </c>
      <c r="D11" s="5"/>
      <c r="E11" s="16"/>
      <c r="F11" s="5">
        <v>0</v>
      </c>
      <c r="G11" s="16"/>
      <c r="H11" s="6" t="s">
        <v>53</v>
      </c>
      <c r="I11" s="5"/>
      <c r="J11" s="5">
        <v>0</v>
      </c>
      <c r="K11" s="5"/>
      <c r="L11" s="6">
        <v>0</v>
      </c>
      <c r="M11" s="5"/>
    </row>
    <row r="12" spans="1:15" x14ac:dyDescent="0.2">
      <c r="A12" s="7"/>
      <c r="B12" s="6" t="s">
        <v>54</v>
      </c>
      <c r="C12" s="6" t="s">
        <v>55</v>
      </c>
      <c r="D12" s="5">
        <v>4.0599999999999996</v>
      </c>
      <c r="E12" s="16">
        <v>1.6</v>
      </c>
      <c r="F12" s="6">
        <v>4.33</v>
      </c>
      <c r="G12" s="16">
        <v>1.1100000000000001</v>
      </c>
      <c r="H12" s="5">
        <v>4.8499999999999996</v>
      </c>
      <c r="I12" s="5">
        <v>1.08</v>
      </c>
      <c r="J12" s="5">
        <v>5.45</v>
      </c>
      <c r="K12" s="5">
        <v>1.48</v>
      </c>
      <c r="L12" s="6">
        <v>4.72</v>
      </c>
      <c r="M12" s="5">
        <v>1.27</v>
      </c>
    </row>
    <row r="13" spans="1:15" x14ac:dyDescent="0.2">
      <c r="B13" s="6" t="s">
        <v>56</v>
      </c>
      <c r="C13" s="6" t="s">
        <v>50</v>
      </c>
      <c r="D13" s="5">
        <v>100</v>
      </c>
      <c r="E13" s="16"/>
      <c r="F13" s="6">
        <v>107</v>
      </c>
      <c r="G13" s="16"/>
      <c r="H13" s="5">
        <v>119</v>
      </c>
      <c r="I13" s="5"/>
      <c r="J13" s="5">
        <v>134</v>
      </c>
      <c r="K13" s="5"/>
      <c r="L13" s="6">
        <v>116</v>
      </c>
      <c r="M13" s="5"/>
    </row>
    <row r="14" spans="1:15" x14ac:dyDescent="0.2">
      <c r="B14" s="12"/>
      <c r="C14" s="6" t="s">
        <v>52</v>
      </c>
      <c r="D14" s="5"/>
      <c r="E14" s="16"/>
      <c r="F14" s="5">
        <v>0</v>
      </c>
      <c r="G14" s="16"/>
      <c r="H14" s="6" t="s">
        <v>53</v>
      </c>
      <c r="I14" s="6"/>
      <c r="J14" s="6" t="s">
        <v>57</v>
      </c>
      <c r="K14" s="5"/>
      <c r="L14" s="6">
        <v>0</v>
      </c>
      <c r="M14" s="5"/>
    </row>
    <row r="15" spans="1:15" x14ac:dyDescent="0.2">
      <c r="B15" s="17" t="s">
        <v>58</v>
      </c>
      <c r="C15" s="6" t="s">
        <v>59</v>
      </c>
      <c r="D15" s="5">
        <v>0.88</v>
      </c>
      <c r="E15" s="16">
        <v>0.36</v>
      </c>
      <c r="F15" s="6">
        <v>0.75</v>
      </c>
      <c r="G15" s="16">
        <v>0.34</v>
      </c>
      <c r="H15" s="5">
        <v>0.66</v>
      </c>
      <c r="I15" s="5">
        <v>0.27</v>
      </c>
      <c r="J15" s="5">
        <v>0.77</v>
      </c>
      <c r="K15" s="5">
        <v>0.35</v>
      </c>
      <c r="L15" s="6">
        <v>0.47</v>
      </c>
      <c r="M15" s="5">
        <v>0.19</v>
      </c>
      <c r="N15" s="47">
        <f>(D15+F15+H15+J15+L15)/5</f>
        <v>0.70600000000000007</v>
      </c>
      <c r="O15" s="47"/>
    </row>
    <row r="16" spans="1:15" x14ac:dyDescent="0.2">
      <c r="B16" s="17" t="s">
        <v>60</v>
      </c>
      <c r="C16" s="6" t="s">
        <v>50</v>
      </c>
      <c r="D16" s="5">
        <v>100</v>
      </c>
      <c r="E16" s="16"/>
      <c r="F16" s="6">
        <v>85</v>
      </c>
      <c r="G16" s="16"/>
      <c r="H16" s="5">
        <v>75</v>
      </c>
      <c r="I16" s="5"/>
      <c r="J16" s="5">
        <v>88</v>
      </c>
      <c r="K16" s="5"/>
      <c r="L16" s="6">
        <v>53</v>
      </c>
      <c r="M16" s="5"/>
      <c r="N16" s="47"/>
      <c r="O16" s="47"/>
    </row>
    <row r="17" spans="2:15" x14ac:dyDescent="0.2">
      <c r="B17" s="17" t="s">
        <v>61</v>
      </c>
      <c r="C17" s="6" t="s">
        <v>52</v>
      </c>
      <c r="D17" s="5"/>
      <c r="E17" s="16"/>
      <c r="F17" s="5">
        <v>0</v>
      </c>
      <c r="G17" s="16"/>
      <c r="H17" s="18" t="s">
        <v>62</v>
      </c>
      <c r="I17" s="19"/>
      <c r="J17" s="19" t="s">
        <v>63</v>
      </c>
      <c r="K17" s="5"/>
      <c r="L17" s="6" t="s">
        <v>57</v>
      </c>
      <c r="M17" s="5"/>
      <c r="N17" s="47"/>
      <c r="O17" s="47"/>
    </row>
    <row r="18" spans="2:15" x14ac:dyDescent="0.2">
      <c r="B18" s="5"/>
      <c r="C18" s="6" t="s">
        <v>64</v>
      </c>
      <c r="D18" s="5">
        <v>1.24</v>
      </c>
      <c r="E18" s="16">
        <v>0.39</v>
      </c>
      <c r="F18" s="6">
        <v>1.1399999999999999</v>
      </c>
      <c r="G18" s="16">
        <v>0.39</v>
      </c>
      <c r="H18" s="5">
        <v>1.08</v>
      </c>
      <c r="I18" s="5">
        <v>0.43</v>
      </c>
      <c r="J18" s="5">
        <v>0.7</v>
      </c>
      <c r="K18" s="5">
        <v>0.3</v>
      </c>
      <c r="L18" s="6">
        <v>0.37</v>
      </c>
      <c r="M18" s="5">
        <v>0.19</v>
      </c>
      <c r="N18" s="47">
        <f>(D18+F18+H18+J18+L18)/5</f>
        <v>0.90600000000000003</v>
      </c>
      <c r="O18" s="47"/>
    </row>
    <row r="19" spans="2:15" x14ac:dyDescent="0.2">
      <c r="B19" s="5"/>
      <c r="C19" s="6" t="s">
        <v>50</v>
      </c>
      <c r="D19" s="5">
        <v>100</v>
      </c>
      <c r="E19" s="16"/>
      <c r="F19" s="6">
        <v>92</v>
      </c>
      <c r="G19" s="16"/>
      <c r="H19" s="5">
        <v>87</v>
      </c>
      <c r="I19" s="5"/>
      <c r="J19" s="5">
        <v>56</v>
      </c>
      <c r="K19" s="5"/>
      <c r="L19" s="6">
        <v>30</v>
      </c>
      <c r="M19" s="5"/>
      <c r="N19" s="47"/>
      <c r="O19" s="47"/>
    </row>
    <row r="20" spans="2:15" x14ac:dyDescent="0.2">
      <c r="B20" s="5"/>
      <c r="C20" s="6" t="s">
        <v>52</v>
      </c>
      <c r="D20" s="5"/>
      <c r="E20" s="16"/>
      <c r="F20" s="6">
        <v>0</v>
      </c>
      <c r="G20" s="16"/>
      <c r="H20" s="5">
        <v>0</v>
      </c>
      <c r="I20" s="6"/>
      <c r="J20" s="6" t="s">
        <v>57</v>
      </c>
      <c r="K20" s="5"/>
      <c r="L20" s="6" t="s">
        <v>57</v>
      </c>
      <c r="M20" s="5"/>
      <c r="N20" s="47"/>
      <c r="O20" s="47"/>
    </row>
    <row r="21" spans="2:15" x14ac:dyDescent="0.2">
      <c r="B21" s="5"/>
      <c r="C21" s="6" t="s">
        <v>65</v>
      </c>
      <c r="D21" s="5">
        <v>1.29</v>
      </c>
      <c r="E21" s="16">
        <v>4.76</v>
      </c>
      <c r="F21" s="6">
        <v>1.22</v>
      </c>
      <c r="G21" s="16">
        <v>0.59</v>
      </c>
      <c r="H21" s="5">
        <v>0.95</v>
      </c>
      <c r="I21" s="5">
        <v>0.42</v>
      </c>
      <c r="J21" s="5">
        <v>0.87</v>
      </c>
      <c r="K21" s="5">
        <v>0.36</v>
      </c>
      <c r="L21" s="6">
        <v>0.67</v>
      </c>
      <c r="M21" s="5">
        <v>0.22</v>
      </c>
      <c r="N21" s="47">
        <f>(D21+F21+H21+J21+L21)/5</f>
        <v>1</v>
      </c>
      <c r="O21" s="47"/>
    </row>
    <row r="22" spans="2:15" x14ac:dyDescent="0.2">
      <c r="B22" s="5"/>
      <c r="C22" s="6" t="s">
        <v>50</v>
      </c>
      <c r="D22" s="5">
        <v>100</v>
      </c>
      <c r="E22" s="16"/>
      <c r="F22" s="6">
        <v>95</v>
      </c>
      <c r="G22" s="16"/>
      <c r="H22" s="5">
        <v>74</v>
      </c>
      <c r="I22" s="5"/>
      <c r="J22" s="5">
        <v>67</v>
      </c>
      <c r="K22" s="5"/>
      <c r="L22" s="6">
        <v>52</v>
      </c>
      <c r="M22" s="5"/>
    </row>
    <row r="23" spans="2:15" x14ac:dyDescent="0.2">
      <c r="B23" s="5"/>
      <c r="C23" s="6" t="s">
        <v>52</v>
      </c>
      <c r="D23" s="5"/>
      <c r="E23" s="16"/>
      <c r="F23" s="5">
        <v>0</v>
      </c>
      <c r="G23" s="16"/>
      <c r="H23" s="18" t="s">
        <v>62</v>
      </c>
      <c r="I23" s="6"/>
      <c r="J23" s="6" t="s">
        <v>57</v>
      </c>
      <c r="K23" s="5"/>
      <c r="L23" s="6" t="s">
        <v>57</v>
      </c>
      <c r="M23" s="5"/>
    </row>
    <row r="24" spans="2:15" x14ac:dyDescent="0.2">
      <c r="B24" s="5"/>
      <c r="C24" s="6" t="s">
        <v>66</v>
      </c>
      <c r="D24" s="5">
        <v>3.41</v>
      </c>
      <c r="E24" s="16">
        <v>1.05</v>
      </c>
      <c r="F24" s="6">
        <v>3.11</v>
      </c>
      <c r="G24" s="16">
        <v>1.1200000000000001</v>
      </c>
      <c r="H24" s="5">
        <v>2.69</v>
      </c>
      <c r="I24" s="5">
        <v>1</v>
      </c>
      <c r="J24" s="5">
        <v>2.34</v>
      </c>
      <c r="K24" s="5">
        <v>0.89</v>
      </c>
      <c r="L24" s="6">
        <v>1.51</v>
      </c>
      <c r="M24" s="5">
        <v>1.53</v>
      </c>
    </row>
    <row r="25" spans="2:15" x14ac:dyDescent="0.2">
      <c r="B25" s="5"/>
      <c r="C25" s="6" t="s">
        <v>50</v>
      </c>
      <c r="D25" s="5">
        <v>100</v>
      </c>
      <c r="E25" s="16"/>
      <c r="F25" s="6">
        <v>92</v>
      </c>
      <c r="G25" s="16"/>
      <c r="H25" s="5">
        <v>79</v>
      </c>
      <c r="I25" s="5"/>
      <c r="J25" s="5">
        <v>69</v>
      </c>
      <c r="K25" s="5"/>
      <c r="L25" s="6">
        <v>45</v>
      </c>
      <c r="M25" s="5"/>
    </row>
    <row r="26" spans="2:15" x14ac:dyDescent="0.2">
      <c r="B26" s="5"/>
      <c r="C26" s="6" t="s">
        <v>52</v>
      </c>
      <c r="D26" s="5"/>
      <c r="E26" s="16"/>
      <c r="F26" s="5">
        <v>0</v>
      </c>
      <c r="G26" s="16"/>
      <c r="H26" s="18" t="s">
        <v>57</v>
      </c>
      <c r="I26" s="6"/>
      <c r="J26" s="6" t="s">
        <v>57</v>
      </c>
      <c r="K26" s="5"/>
      <c r="L26" s="6" t="s">
        <v>57</v>
      </c>
      <c r="M26" s="5"/>
    </row>
    <row r="27" spans="2:15" x14ac:dyDescent="0.2">
      <c r="B27" s="20"/>
      <c r="C27" s="21" t="s">
        <v>67</v>
      </c>
      <c r="D27" s="20">
        <v>31</v>
      </c>
      <c r="E27" s="22"/>
      <c r="F27" s="20">
        <v>36</v>
      </c>
      <c r="G27" s="22"/>
      <c r="H27" s="20">
        <v>29</v>
      </c>
      <c r="I27" s="20"/>
      <c r="J27" s="20">
        <v>39</v>
      </c>
      <c r="K27" s="20"/>
      <c r="L27" s="21">
        <v>29</v>
      </c>
      <c r="M27" s="20"/>
    </row>
    <row r="29" spans="2:15" x14ac:dyDescent="0.2">
      <c r="B29" s="4" t="s">
        <v>81</v>
      </c>
      <c r="C29" s="5"/>
      <c r="D29" s="5"/>
      <c r="E29" s="5"/>
      <c r="F29" s="5"/>
      <c r="G29" s="5"/>
      <c r="H29" s="5"/>
      <c r="I29" s="5"/>
      <c r="J29" s="5"/>
      <c r="K29" s="5"/>
      <c r="L29" s="5"/>
      <c r="M29" s="5"/>
      <c r="N29" s="5"/>
    </row>
    <row r="30" spans="2:15" x14ac:dyDescent="0.2">
      <c r="B30" s="4" t="s">
        <v>84</v>
      </c>
      <c r="C30" s="5"/>
      <c r="D30" s="5"/>
      <c r="E30" s="5"/>
      <c r="F30" s="5"/>
      <c r="G30" s="5"/>
      <c r="H30" s="5"/>
      <c r="I30" s="5"/>
      <c r="J30" s="5"/>
      <c r="K30" s="5"/>
      <c r="L30" s="5"/>
      <c r="M30" s="5"/>
      <c r="N30" s="5"/>
    </row>
    <row r="31" spans="2:15" x14ac:dyDescent="0.2">
      <c r="B31" s="6" t="s">
        <v>85</v>
      </c>
      <c r="C31" s="5"/>
      <c r="D31" s="5"/>
      <c r="E31" s="5"/>
      <c r="F31" s="5"/>
      <c r="G31" s="5"/>
      <c r="H31" s="5"/>
      <c r="I31" s="5"/>
      <c r="J31" s="5"/>
      <c r="K31" s="5"/>
      <c r="L31" s="5"/>
      <c r="M31" s="5"/>
      <c r="N31" s="5"/>
    </row>
    <row r="32" spans="2:15" x14ac:dyDescent="0.2">
      <c r="B32" s="6" t="s">
        <v>86</v>
      </c>
      <c r="C32" s="5"/>
      <c r="D32" s="5"/>
      <c r="E32" s="5"/>
      <c r="F32" s="5"/>
      <c r="G32" s="5"/>
      <c r="H32" s="5"/>
      <c r="I32" s="5"/>
      <c r="J32" s="5"/>
      <c r="K32" s="5"/>
      <c r="L32" s="5"/>
      <c r="M32" s="5"/>
      <c r="N32" s="5"/>
    </row>
    <row r="33" spans="1:14" x14ac:dyDescent="0.2">
      <c r="B33" s="6" t="s">
        <v>87</v>
      </c>
      <c r="C33" s="5"/>
      <c r="D33" s="5"/>
      <c r="E33" s="5"/>
      <c r="F33" s="5"/>
      <c r="G33" s="5"/>
      <c r="H33" s="5"/>
      <c r="I33" s="5"/>
      <c r="J33" s="5"/>
      <c r="K33" s="5"/>
      <c r="L33" s="5"/>
      <c r="M33" s="5"/>
      <c r="N33" s="5"/>
    </row>
    <row r="34" spans="1:14" x14ac:dyDescent="0.2">
      <c r="B34" s="5"/>
      <c r="C34" s="6" t="s">
        <v>71</v>
      </c>
      <c r="D34" s="23">
        <v>0</v>
      </c>
      <c r="E34" s="23"/>
      <c r="F34" s="25" t="s">
        <v>72</v>
      </c>
      <c r="G34" s="25"/>
      <c r="H34" s="25" t="s">
        <v>73</v>
      </c>
      <c r="I34" s="25"/>
      <c r="J34" s="25" t="s">
        <v>74</v>
      </c>
      <c r="K34" s="25"/>
      <c r="L34" s="25" t="s">
        <v>75</v>
      </c>
      <c r="M34" s="5"/>
      <c r="N34" s="5"/>
    </row>
    <row r="35" spans="1:14" x14ac:dyDescent="0.2">
      <c r="B35" s="5"/>
      <c r="C35" s="6" t="s">
        <v>77</v>
      </c>
      <c r="D35" s="26">
        <v>1</v>
      </c>
      <c r="E35" s="26"/>
      <c r="F35" s="26">
        <v>0.68</v>
      </c>
      <c r="G35" s="26"/>
      <c r="H35" s="26">
        <v>0.35</v>
      </c>
      <c r="I35" s="26"/>
      <c r="J35" s="26">
        <v>0.12</v>
      </c>
      <c r="K35" s="26"/>
      <c r="L35" s="26">
        <v>0.01</v>
      </c>
      <c r="M35" s="5"/>
      <c r="N35" s="5"/>
    </row>
    <row r="36" spans="1:14" x14ac:dyDescent="0.2">
      <c r="B36" s="13" t="s">
        <v>88</v>
      </c>
      <c r="C36" s="13" t="s">
        <v>89</v>
      </c>
      <c r="D36" s="14">
        <v>87</v>
      </c>
      <c r="E36" s="14"/>
      <c r="F36" s="14">
        <v>24</v>
      </c>
      <c r="G36" s="14"/>
      <c r="H36" s="14">
        <v>13</v>
      </c>
      <c r="I36" s="14"/>
      <c r="J36" s="14">
        <v>24</v>
      </c>
      <c r="K36" s="14"/>
      <c r="L36" s="14">
        <v>18</v>
      </c>
      <c r="M36" s="13"/>
      <c r="N36" s="5"/>
    </row>
    <row r="37" spans="1:14" x14ac:dyDescent="0.2">
      <c r="B37" s="6"/>
      <c r="C37" s="6" t="s">
        <v>90</v>
      </c>
      <c r="D37" s="5">
        <v>32</v>
      </c>
      <c r="E37" s="5"/>
      <c r="F37" s="5">
        <v>76</v>
      </c>
      <c r="G37" s="5"/>
      <c r="H37" s="5">
        <v>80</v>
      </c>
      <c r="I37" s="5"/>
      <c r="J37" s="5">
        <v>76</v>
      </c>
      <c r="K37" s="5"/>
      <c r="L37" s="5">
        <v>3</v>
      </c>
      <c r="M37" s="5"/>
      <c r="N37" s="5"/>
    </row>
    <row r="38" spans="1:14" x14ac:dyDescent="0.2">
      <c r="B38" s="6"/>
      <c r="C38" s="6" t="s">
        <v>91</v>
      </c>
      <c r="D38" s="5">
        <v>1.39</v>
      </c>
      <c r="E38" s="28">
        <v>1</v>
      </c>
      <c r="F38" s="5">
        <v>1.1200000000000001</v>
      </c>
      <c r="G38" s="28">
        <v>0.81</v>
      </c>
      <c r="H38" s="5">
        <v>1.01</v>
      </c>
      <c r="I38" s="28">
        <v>0.73</v>
      </c>
      <c r="J38" s="5">
        <v>0.81</v>
      </c>
      <c r="K38" s="28">
        <v>0.57999999999999996</v>
      </c>
      <c r="L38" s="5">
        <v>0.95</v>
      </c>
      <c r="M38" s="28">
        <v>0.68</v>
      </c>
      <c r="N38" s="5"/>
    </row>
    <row r="39" spans="1:14" x14ac:dyDescent="0.2">
      <c r="B39" s="6"/>
      <c r="C39" s="5"/>
      <c r="D39" s="5"/>
      <c r="E39" s="5"/>
      <c r="F39" s="5"/>
      <c r="G39" s="5"/>
      <c r="H39" s="5"/>
      <c r="I39" s="5"/>
      <c r="J39" s="5"/>
      <c r="K39" s="5"/>
      <c r="L39" s="5"/>
      <c r="M39" s="5"/>
      <c r="N39" s="5"/>
    </row>
    <row r="40" spans="1:14" x14ac:dyDescent="0.2">
      <c r="B40" s="5"/>
      <c r="C40" s="5"/>
      <c r="D40" s="5"/>
      <c r="E40" s="5"/>
      <c r="F40" s="5"/>
      <c r="G40" s="5"/>
      <c r="H40" s="5"/>
      <c r="I40" s="5"/>
      <c r="J40" s="5"/>
      <c r="K40" s="5"/>
      <c r="L40" s="5"/>
      <c r="M40" s="5"/>
      <c r="N40" s="5"/>
    </row>
    <row r="41" spans="1:14" x14ac:dyDescent="0.2">
      <c r="B41" s="4" t="s">
        <v>92</v>
      </c>
      <c r="C41" s="5"/>
      <c r="D41" s="5"/>
      <c r="E41" s="5"/>
      <c r="F41" s="5"/>
      <c r="G41" s="5"/>
      <c r="H41" s="5"/>
      <c r="I41" s="5"/>
      <c r="J41" s="5"/>
      <c r="K41" s="5"/>
      <c r="L41" s="5"/>
      <c r="M41" s="5"/>
      <c r="N41" s="5"/>
    </row>
    <row r="42" spans="1:14" x14ac:dyDescent="0.2">
      <c r="B42" s="6" t="s">
        <v>93</v>
      </c>
      <c r="C42" s="5"/>
      <c r="D42" s="5"/>
      <c r="E42" s="5"/>
      <c r="F42" s="5"/>
      <c r="G42" s="5"/>
      <c r="H42" s="5"/>
      <c r="I42" s="5"/>
      <c r="J42" s="5"/>
      <c r="K42" s="5"/>
      <c r="L42" s="5"/>
      <c r="M42" s="5"/>
      <c r="N42" s="5"/>
    </row>
    <row r="43" spans="1:14" x14ac:dyDescent="0.2">
      <c r="B43" s="6"/>
      <c r="C43" s="5"/>
      <c r="D43" s="5"/>
      <c r="E43" s="5"/>
      <c r="F43" s="5"/>
      <c r="G43" s="5"/>
      <c r="H43" s="5"/>
      <c r="I43" s="5"/>
      <c r="J43" s="5"/>
      <c r="K43" s="5"/>
      <c r="L43" s="5"/>
      <c r="M43" s="5"/>
      <c r="N43" s="5"/>
    </row>
    <row r="44" spans="1:14" x14ac:dyDescent="0.2">
      <c r="A44" s="7" t="s">
        <v>976</v>
      </c>
      <c r="B44" t="s">
        <v>94</v>
      </c>
    </row>
    <row r="45" spans="1:14" x14ac:dyDescent="0.2">
      <c r="A45" s="7" t="s">
        <v>977</v>
      </c>
    </row>
    <row r="47" spans="1:14" x14ac:dyDescent="0.2">
      <c r="B47" t="s">
        <v>95</v>
      </c>
    </row>
    <row r="49" spans="2:10" x14ac:dyDescent="0.2">
      <c r="B49" s="7" t="s">
        <v>96</v>
      </c>
    </row>
    <row r="51" spans="2:10" x14ac:dyDescent="0.2">
      <c r="B51" t="s">
        <v>97</v>
      </c>
      <c r="C51" t="s">
        <v>98</v>
      </c>
      <c r="G51" t="s">
        <v>99</v>
      </c>
    </row>
    <row r="52" spans="2:10" x14ac:dyDescent="0.2">
      <c r="C52" t="s">
        <v>100</v>
      </c>
      <c r="D52" t="s">
        <v>101</v>
      </c>
      <c r="E52" t="s">
        <v>102</v>
      </c>
      <c r="F52" t="s">
        <v>103</v>
      </c>
      <c r="G52" t="s">
        <v>102</v>
      </c>
      <c r="H52" t="s">
        <v>103</v>
      </c>
      <c r="I52" s="29" t="s">
        <v>104</v>
      </c>
      <c r="J52" s="29" t="s">
        <v>105</v>
      </c>
    </row>
    <row r="53" spans="2:10" x14ac:dyDescent="0.2">
      <c r="C53" t="s">
        <v>106</v>
      </c>
      <c r="D53" t="s">
        <v>107</v>
      </c>
      <c r="E53" t="s">
        <v>108</v>
      </c>
      <c r="F53" t="s">
        <v>109</v>
      </c>
      <c r="G53" t="s">
        <v>110</v>
      </c>
      <c r="H53" t="s">
        <v>111</v>
      </c>
      <c r="I53" s="29"/>
      <c r="J53" s="29"/>
    </row>
    <row r="54" spans="2:10" x14ac:dyDescent="0.2">
      <c r="B54" t="s">
        <v>112</v>
      </c>
      <c r="C54">
        <v>26</v>
      </c>
      <c r="D54">
        <v>640</v>
      </c>
      <c r="E54">
        <v>313</v>
      </c>
      <c r="F54">
        <v>31.5</v>
      </c>
      <c r="G54">
        <v>488.9</v>
      </c>
      <c r="H54">
        <v>4.9000000000000004</v>
      </c>
      <c r="I54" s="29">
        <f>SQRT(H54/PI()*4)*10</f>
        <v>24.977737626138797</v>
      </c>
      <c r="J54" s="29">
        <f>G54/H54/0.45/10</f>
        <v>22.172335600907026</v>
      </c>
    </row>
    <row r="55" spans="2:10" x14ac:dyDescent="0.2">
      <c r="B55" t="s">
        <v>113</v>
      </c>
      <c r="C55">
        <v>28</v>
      </c>
      <c r="D55">
        <v>622</v>
      </c>
      <c r="E55">
        <v>284</v>
      </c>
      <c r="F55">
        <v>35</v>
      </c>
      <c r="G55">
        <v>457.7</v>
      </c>
      <c r="H55">
        <v>5.6</v>
      </c>
      <c r="I55" s="29">
        <f>SQRT(H55/PI()*4)*10</f>
        <v>26.702324712498182</v>
      </c>
      <c r="J55" s="29">
        <f>G55/H55/0.45/10</f>
        <v>18.162698412698411</v>
      </c>
    </row>
    <row r="56" spans="2:10" x14ac:dyDescent="0.2">
      <c r="B56" t="s">
        <v>114</v>
      </c>
      <c r="C56">
        <v>29</v>
      </c>
      <c r="D56">
        <v>587</v>
      </c>
      <c r="E56">
        <v>309</v>
      </c>
      <c r="F56">
        <v>34.200000000000003</v>
      </c>
      <c r="G56">
        <v>527.4</v>
      </c>
      <c r="H56">
        <v>5.8</v>
      </c>
      <c r="I56" s="29">
        <f>SQRT(H56/PI()*4)*10</f>
        <v>27.174968922638982</v>
      </c>
      <c r="J56" s="29">
        <f>G56/H56/0.45/10</f>
        <v>20.206896551724135</v>
      </c>
    </row>
    <row r="57" spans="2:10" x14ac:dyDescent="0.2">
      <c r="B57" t="s">
        <v>115</v>
      </c>
      <c r="C57">
        <v>36</v>
      </c>
      <c r="D57">
        <v>322</v>
      </c>
      <c r="E57">
        <v>400</v>
      </c>
      <c r="F57">
        <v>33.799999999999997</v>
      </c>
      <c r="G57">
        <v>1239.9000000000001</v>
      </c>
      <c r="H57">
        <v>10.5</v>
      </c>
      <c r="I57" s="29">
        <f>SQRT(H57/PI()*4)*10</f>
        <v>36.56366395715726</v>
      </c>
      <c r="J57" s="29">
        <f>G57/H57/0.45/10</f>
        <v>26.241269841269844</v>
      </c>
    </row>
    <row r="58" spans="2:10" x14ac:dyDescent="0.2">
      <c r="B58" t="s">
        <v>116</v>
      </c>
      <c r="C58">
        <v>54</v>
      </c>
      <c r="D58">
        <v>243</v>
      </c>
      <c r="E58">
        <v>747</v>
      </c>
      <c r="F58">
        <v>49</v>
      </c>
      <c r="G58">
        <v>3076.5</v>
      </c>
      <c r="H58">
        <v>20.2</v>
      </c>
      <c r="I58" s="29">
        <f>SQRT(H58/PI()*4)*10</f>
        <v>50.714336043815351</v>
      </c>
      <c r="J58" s="29">
        <f>G58/H58/0.45/10</f>
        <v>33.844884488448841</v>
      </c>
    </row>
    <row r="60" spans="2:10" x14ac:dyDescent="0.2">
      <c r="C60" t="s">
        <v>117</v>
      </c>
      <c r="D60" t="s">
        <v>118</v>
      </c>
    </row>
    <row r="61" spans="2:10" x14ac:dyDescent="0.2">
      <c r="C61" t="s">
        <v>119</v>
      </c>
      <c r="D61" t="s">
        <v>120</v>
      </c>
    </row>
    <row r="62" spans="2:10" x14ac:dyDescent="0.2">
      <c r="C62" t="s">
        <v>35</v>
      </c>
      <c r="D62" t="s">
        <v>121</v>
      </c>
    </row>
    <row r="63" spans="2:10" x14ac:dyDescent="0.2">
      <c r="C63" t="s">
        <v>122</v>
      </c>
      <c r="D63" t="s">
        <v>123</v>
      </c>
    </row>
    <row r="65" spans="2:19" x14ac:dyDescent="0.2">
      <c r="B65" s="7" t="s">
        <v>124</v>
      </c>
    </row>
    <row r="66" spans="2:19" x14ac:dyDescent="0.2">
      <c r="B66" s="30" t="s">
        <v>125</v>
      </c>
      <c r="N66" s="29"/>
      <c r="O66" s="29"/>
      <c r="P66" s="29" t="s">
        <v>153</v>
      </c>
      <c r="Q66" s="29"/>
      <c r="R66" s="29"/>
      <c r="S66" s="29"/>
    </row>
    <row r="67" spans="2:19" x14ac:dyDescent="0.2">
      <c r="B67" t="s">
        <v>126</v>
      </c>
      <c r="C67" t="s">
        <v>98</v>
      </c>
      <c r="D67" t="s">
        <v>127</v>
      </c>
      <c r="F67" t="s">
        <v>128</v>
      </c>
      <c r="H67" t="s">
        <v>129</v>
      </c>
      <c r="J67" t="s">
        <v>130</v>
      </c>
      <c r="L67" t="s">
        <v>131</v>
      </c>
      <c r="N67" s="29"/>
      <c r="O67" s="29" t="s">
        <v>127</v>
      </c>
      <c r="P67" s="29" t="s">
        <v>128</v>
      </c>
      <c r="Q67" s="29" t="s">
        <v>129</v>
      </c>
      <c r="R67" s="29" t="s">
        <v>130</v>
      </c>
      <c r="S67" s="29" t="s">
        <v>131</v>
      </c>
    </row>
    <row r="68" spans="2:19" x14ac:dyDescent="0.2">
      <c r="C68" t="s">
        <v>132</v>
      </c>
      <c r="E68" t="s">
        <v>133</v>
      </c>
      <c r="G68" t="s">
        <v>134</v>
      </c>
      <c r="I68" t="s">
        <v>135</v>
      </c>
      <c r="K68" t="s">
        <v>136</v>
      </c>
      <c r="M68" s="46" t="s">
        <v>214</v>
      </c>
      <c r="N68" s="29" t="s">
        <v>105</v>
      </c>
      <c r="O68" s="31">
        <f>J54</f>
        <v>22.172335600907026</v>
      </c>
      <c r="P68" s="31">
        <f>J55</f>
        <v>18.162698412698411</v>
      </c>
      <c r="Q68" s="31">
        <f>J56</f>
        <v>20.206896551724135</v>
      </c>
      <c r="R68" s="31">
        <f>J57</f>
        <v>26.241269841269844</v>
      </c>
      <c r="S68" s="31">
        <f>J58</f>
        <v>33.844884488448841</v>
      </c>
    </row>
    <row r="69" spans="2:19" x14ac:dyDescent="0.2">
      <c r="C69" t="s">
        <v>137</v>
      </c>
      <c r="D69" t="s">
        <v>138</v>
      </c>
      <c r="E69" t="s">
        <v>137</v>
      </c>
      <c r="F69" t="s">
        <v>138</v>
      </c>
      <c r="G69" t="s">
        <v>137</v>
      </c>
      <c r="H69" t="s">
        <v>138</v>
      </c>
      <c r="I69" t="s">
        <v>137</v>
      </c>
      <c r="J69" t="s">
        <v>138</v>
      </c>
      <c r="K69" t="s">
        <v>137</v>
      </c>
      <c r="L69" t="s">
        <v>138</v>
      </c>
      <c r="N69" s="29" t="s">
        <v>104</v>
      </c>
      <c r="O69" s="31">
        <f>I54</f>
        <v>24.977737626138797</v>
      </c>
      <c r="P69" s="31">
        <f>I55</f>
        <v>26.702324712498182</v>
      </c>
      <c r="Q69" s="31">
        <f>I56</f>
        <v>27.174968922638982</v>
      </c>
      <c r="R69" s="31">
        <f>I57</f>
        <v>36.56366395715726</v>
      </c>
      <c r="S69" s="31">
        <f>I58</f>
        <v>50.714336043815351</v>
      </c>
    </row>
    <row r="70" spans="2:19" x14ac:dyDescent="0.2">
      <c r="B70" t="s">
        <v>139</v>
      </c>
      <c r="C70">
        <v>114.1</v>
      </c>
      <c r="D70" s="32">
        <f>C70/$C$76*100</f>
        <v>71.715901948460086</v>
      </c>
      <c r="E70">
        <v>116</v>
      </c>
      <c r="F70" s="32">
        <f>E70/$E$76*100</f>
        <v>69.79542719614922</v>
      </c>
      <c r="G70">
        <v>114.2</v>
      </c>
      <c r="H70" s="32">
        <f>G70/$G$76*100</f>
        <v>69.506999391357269</v>
      </c>
      <c r="I70">
        <v>148.6</v>
      </c>
      <c r="J70" s="32">
        <f>I70/$I$76*100</f>
        <v>76.401028277634964</v>
      </c>
      <c r="K70">
        <v>292.5</v>
      </c>
      <c r="L70" s="32">
        <f>K70/$K$76*100</f>
        <v>80.578512396694208</v>
      </c>
      <c r="N70" s="29" t="s">
        <v>139</v>
      </c>
      <c r="O70" s="31">
        <f t="shared" ref="O70:O76" si="0">C70*1000/$D$54</f>
        <v>178.28125</v>
      </c>
      <c r="P70" s="31">
        <f t="shared" ref="P70:P76" si="1">E70*1000/$D$55</f>
        <v>186.49517684887459</v>
      </c>
      <c r="Q70" s="31">
        <f t="shared" ref="Q70:Q76" si="2">G70*1000/$D$56</f>
        <v>194.54855195911415</v>
      </c>
      <c r="R70" s="31">
        <f t="shared" ref="R70:R76" si="3">I70*1000/$D$57</f>
        <v>461.49068322981367</v>
      </c>
      <c r="S70" s="31">
        <f t="shared" ref="S70:S76" si="4">K70*1000/$D$58</f>
        <v>1203.7037037037037</v>
      </c>
    </row>
    <row r="71" spans="2:19" x14ac:dyDescent="0.2">
      <c r="B71" t="s">
        <v>140</v>
      </c>
      <c r="C71">
        <v>13.4</v>
      </c>
      <c r="D71" s="32">
        <f t="shared" ref="D71:D76" si="5">C71/$C$76*100</f>
        <v>8.4223758642363293</v>
      </c>
      <c r="E71">
        <v>13</v>
      </c>
      <c r="F71" s="32">
        <f t="shared" ref="F71:F76" si="6">E71/$E$76*100</f>
        <v>7.8219013237063786</v>
      </c>
      <c r="G71">
        <v>15</v>
      </c>
      <c r="H71" s="32">
        <f t="shared" ref="H71:H76" si="7">G71/$G$76*100</f>
        <v>9.1296409007912338</v>
      </c>
      <c r="I71">
        <v>16.8</v>
      </c>
      <c r="J71" s="32">
        <f t="shared" ref="J71:J76" si="8">I71/$I$76*100</f>
        <v>8.6375321336760926</v>
      </c>
      <c r="K71">
        <v>35.4</v>
      </c>
      <c r="L71" s="32">
        <f t="shared" ref="L71:L76" si="9">K71/$K$76*100</f>
        <v>9.7520661157024797</v>
      </c>
      <c r="N71" s="29" t="s">
        <v>140</v>
      </c>
      <c r="O71" s="31">
        <f t="shared" si="0"/>
        <v>20.9375</v>
      </c>
      <c r="P71" s="31">
        <f t="shared" si="1"/>
        <v>20.90032154340836</v>
      </c>
      <c r="Q71" s="31">
        <f t="shared" si="2"/>
        <v>25.55366269165247</v>
      </c>
      <c r="R71" s="31">
        <f t="shared" si="3"/>
        <v>52.173913043478258</v>
      </c>
      <c r="S71" s="31">
        <f t="shared" si="4"/>
        <v>145.67901234567901</v>
      </c>
    </row>
    <row r="72" spans="2:19" x14ac:dyDescent="0.2">
      <c r="B72" t="s">
        <v>141</v>
      </c>
      <c r="C72">
        <v>127.5</v>
      </c>
      <c r="D72" s="32">
        <f t="shared" si="5"/>
        <v>80.13827781269643</v>
      </c>
      <c r="E72">
        <v>129</v>
      </c>
      <c r="F72" s="32">
        <f t="shared" si="6"/>
        <v>77.617328519855604</v>
      </c>
      <c r="G72">
        <v>129.1</v>
      </c>
      <c r="H72" s="32">
        <f t="shared" si="7"/>
        <v>78.575776019476564</v>
      </c>
      <c r="I72">
        <v>165.3</v>
      </c>
      <c r="J72" s="32">
        <f t="shared" si="8"/>
        <v>84.987146529562978</v>
      </c>
      <c r="K72">
        <v>327.9</v>
      </c>
      <c r="L72" s="32">
        <f t="shared" si="9"/>
        <v>90.330578512396684</v>
      </c>
      <c r="M72" s="47">
        <f>(C72+E72+G72+I72+K72)/5</f>
        <v>175.76000000000002</v>
      </c>
      <c r="N72" s="29" t="s">
        <v>141</v>
      </c>
      <c r="O72" s="31">
        <f t="shared" si="0"/>
        <v>199.21875</v>
      </c>
      <c r="P72" s="31">
        <f t="shared" si="1"/>
        <v>207.39549839228295</v>
      </c>
      <c r="Q72" s="31">
        <f t="shared" si="2"/>
        <v>219.93185689948893</v>
      </c>
      <c r="R72" s="31">
        <f t="shared" si="3"/>
        <v>513.3540372670808</v>
      </c>
      <c r="S72" s="31">
        <f t="shared" si="4"/>
        <v>1349.3827160493827</v>
      </c>
    </row>
    <row r="73" spans="2:19" x14ac:dyDescent="0.2">
      <c r="B73" t="s">
        <v>142</v>
      </c>
      <c r="C73">
        <v>18.899999999999999</v>
      </c>
      <c r="D73" s="32">
        <f t="shared" si="5"/>
        <v>11.879321181646763</v>
      </c>
      <c r="E73">
        <v>23.1</v>
      </c>
      <c r="F73" s="32">
        <f t="shared" si="6"/>
        <v>13.898916967509026</v>
      </c>
      <c r="G73">
        <v>20.8</v>
      </c>
      <c r="H73" s="32">
        <f t="shared" si="7"/>
        <v>12.659768715763848</v>
      </c>
      <c r="I73">
        <v>19.399999999999999</v>
      </c>
      <c r="J73" s="32">
        <f t="shared" si="8"/>
        <v>9.974293059125964</v>
      </c>
      <c r="K73">
        <v>25.6</v>
      </c>
      <c r="L73" s="32">
        <f t="shared" si="9"/>
        <v>7.0523415977961443</v>
      </c>
      <c r="M73" s="47">
        <f>(C73+E73+G73+I73+K73)/5</f>
        <v>21.559999999999995</v>
      </c>
      <c r="N73" s="29" t="s">
        <v>142</v>
      </c>
      <c r="O73" s="31">
        <f t="shared" si="0"/>
        <v>29.53125</v>
      </c>
      <c r="P73" s="31">
        <f t="shared" si="1"/>
        <v>37.138263665594856</v>
      </c>
      <c r="Q73" s="31">
        <f t="shared" si="2"/>
        <v>35.434412265758091</v>
      </c>
      <c r="R73" s="31">
        <f t="shared" si="3"/>
        <v>60.248447204968947</v>
      </c>
      <c r="S73" s="31">
        <f t="shared" si="4"/>
        <v>105.34979423868313</v>
      </c>
    </row>
    <row r="74" spans="2:19" x14ac:dyDescent="0.2">
      <c r="B74" t="s">
        <v>143</v>
      </c>
      <c r="C74">
        <v>12.8</v>
      </c>
      <c r="D74" s="32">
        <f t="shared" si="5"/>
        <v>8.0452545568824636</v>
      </c>
      <c r="E74">
        <v>14.1</v>
      </c>
      <c r="F74" s="32">
        <f t="shared" si="6"/>
        <v>8.4837545126353788</v>
      </c>
      <c r="G74">
        <v>14.3</v>
      </c>
      <c r="H74" s="32">
        <f t="shared" si="7"/>
        <v>8.7035909920876442</v>
      </c>
      <c r="I74">
        <v>9.6999999999999993</v>
      </c>
      <c r="J74" s="32">
        <f t="shared" si="8"/>
        <v>4.987146529562982</v>
      </c>
      <c r="K74">
        <v>9.5</v>
      </c>
      <c r="L74" s="32">
        <f t="shared" si="9"/>
        <v>2.6170798898071626</v>
      </c>
      <c r="M74" s="47">
        <f>(C74+E74+G74+I74+K74)/5</f>
        <v>12.080000000000002</v>
      </c>
      <c r="N74" s="29" t="s">
        <v>143</v>
      </c>
      <c r="O74" s="31">
        <f t="shared" si="0"/>
        <v>20</v>
      </c>
      <c r="P74" s="31">
        <f t="shared" si="1"/>
        <v>22.668810289389068</v>
      </c>
      <c r="Q74" s="31">
        <f t="shared" si="2"/>
        <v>24.361158432708688</v>
      </c>
      <c r="R74" s="31">
        <f t="shared" si="3"/>
        <v>30.124223602484474</v>
      </c>
      <c r="S74" s="31">
        <f t="shared" si="4"/>
        <v>39.094650205761319</v>
      </c>
    </row>
    <row r="75" spans="2:19" x14ac:dyDescent="0.2">
      <c r="B75" t="s">
        <v>144</v>
      </c>
      <c r="C75">
        <v>31.7</v>
      </c>
      <c r="D75" s="32">
        <f t="shared" si="5"/>
        <v>19.924575738529228</v>
      </c>
      <c r="E75">
        <v>37.200000000000003</v>
      </c>
      <c r="F75" s="32">
        <f t="shared" si="6"/>
        <v>22.38267148014441</v>
      </c>
      <c r="G75">
        <v>35.1</v>
      </c>
      <c r="H75" s="32">
        <f t="shared" si="7"/>
        <v>21.36335970785149</v>
      </c>
      <c r="I75">
        <v>29.2</v>
      </c>
      <c r="J75" s="32">
        <f t="shared" si="8"/>
        <v>15.012853470437019</v>
      </c>
      <c r="K75">
        <v>35.1</v>
      </c>
      <c r="L75" s="32">
        <f t="shared" si="9"/>
        <v>9.6694214876033069</v>
      </c>
      <c r="N75" s="29" t="s">
        <v>144</v>
      </c>
      <c r="O75" s="31">
        <f t="shared" si="0"/>
        <v>49.53125</v>
      </c>
      <c r="P75" s="31">
        <f t="shared" si="1"/>
        <v>59.80707395498392</v>
      </c>
      <c r="Q75" s="31">
        <f t="shared" si="2"/>
        <v>59.795570698466783</v>
      </c>
      <c r="R75" s="31">
        <f t="shared" si="3"/>
        <v>90.683229813664596</v>
      </c>
      <c r="S75" s="31">
        <f t="shared" si="4"/>
        <v>144.44444444444446</v>
      </c>
    </row>
    <row r="76" spans="2:19" x14ac:dyDescent="0.2">
      <c r="B76" t="s">
        <v>145</v>
      </c>
      <c r="C76">
        <v>159.1</v>
      </c>
      <c r="D76" s="32">
        <f t="shared" si="5"/>
        <v>100</v>
      </c>
      <c r="E76">
        <v>166.2</v>
      </c>
      <c r="F76" s="32">
        <f t="shared" si="6"/>
        <v>100</v>
      </c>
      <c r="G76">
        <v>164.3</v>
      </c>
      <c r="H76" s="32">
        <f t="shared" si="7"/>
        <v>100</v>
      </c>
      <c r="I76">
        <v>194.5</v>
      </c>
      <c r="J76" s="32">
        <f t="shared" si="8"/>
        <v>100</v>
      </c>
      <c r="K76">
        <v>363</v>
      </c>
      <c r="L76" s="32">
        <f t="shared" si="9"/>
        <v>100</v>
      </c>
      <c r="N76" s="29" t="s">
        <v>145</v>
      </c>
      <c r="O76" s="31">
        <f t="shared" si="0"/>
        <v>248.59375</v>
      </c>
      <c r="P76" s="31">
        <f t="shared" si="1"/>
        <v>267.20257234726688</v>
      </c>
      <c r="Q76" s="31">
        <f t="shared" si="2"/>
        <v>279.8977853492334</v>
      </c>
      <c r="R76" s="31">
        <f t="shared" si="3"/>
        <v>604.03726708074532</v>
      </c>
      <c r="S76" s="31">
        <f t="shared" si="4"/>
        <v>1493.8271604938273</v>
      </c>
    </row>
    <row r="78" spans="2:19" x14ac:dyDescent="0.2">
      <c r="B78" s="7" t="s">
        <v>146</v>
      </c>
    </row>
    <row r="79" spans="2:19" x14ac:dyDescent="0.2">
      <c r="B79" s="33" t="s">
        <v>97</v>
      </c>
      <c r="C79" s="34" t="s">
        <v>147</v>
      </c>
      <c r="D79" s="33" t="s">
        <v>67</v>
      </c>
      <c r="E79" s="35" t="s">
        <v>148</v>
      </c>
      <c r="F79" s="35" t="s">
        <v>149</v>
      </c>
      <c r="G79" s="35" t="s">
        <v>150</v>
      </c>
      <c r="H79" s="34" t="s">
        <v>151</v>
      </c>
      <c r="I79" s="33" t="s">
        <v>67</v>
      </c>
      <c r="J79" s="35" t="s">
        <v>148</v>
      </c>
      <c r="K79" s="35" t="s">
        <v>149</v>
      </c>
      <c r="L79" s="35" t="s">
        <v>150</v>
      </c>
      <c r="M79" s="34" t="s">
        <v>151</v>
      </c>
    </row>
    <row r="80" spans="2:19" x14ac:dyDescent="0.2">
      <c r="B80" s="36"/>
      <c r="C80" s="37" t="s">
        <v>106</v>
      </c>
      <c r="D80" s="36" t="s">
        <v>152</v>
      </c>
      <c r="E80" s="38" t="s">
        <v>152</v>
      </c>
      <c r="F80" s="38" t="s">
        <v>152</v>
      </c>
      <c r="G80" s="38" t="s">
        <v>152</v>
      </c>
      <c r="H80" s="37" t="s">
        <v>152</v>
      </c>
      <c r="I80" s="36" t="s">
        <v>152</v>
      </c>
      <c r="J80" s="38" t="s">
        <v>152</v>
      </c>
      <c r="K80" s="38" t="s">
        <v>152</v>
      </c>
      <c r="L80" s="38" t="s">
        <v>152</v>
      </c>
      <c r="M80" s="37" t="s">
        <v>152</v>
      </c>
    </row>
    <row r="81" spans="2:18" x14ac:dyDescent="0.2">
      <c r="B81" s="36"/>
      <c r="C81" s="37"/>
      <c r="D81" s="39" t="s">
        <v>139</v>
      </c>
      <c r="E81" s="38"/>
      <c r="F81" s="38"/>
      <c r="G81" s="38"/>
      <c r="H81" s="37"/>
      <c r="I81" s="36" t="s">
        <v>140</v>
      </c>
      <c r="J81" s="38"/>
      <c r="K81" s="38"/>
      <c r="L81" s="38"/>
      <c r="M81" s="37"/>
    </row>
    <row r="82" spans="2:18" x14ac:dyDescent="0.2">
      <c r="B82" s="36" t="s">
        <v>112</v>
      </c>
      <c r="C82" s="37">
        <v>26</v>
      </c>
      <c r="D82" s="36">
        <v>1.02</v>
      </c>
      <c r="E82" s="38">
        <v>4.4999999999999998E-2</v>
      </c>
      <c r="F82" s="38">
        <v>0.32</v>
      </c>
      <c r="G82" s="38">
        <v>0.23</v>
      </c>
      <c r="H82" s="37">
        <v>6.7000000000000004E-2</v>
      </c>
      <c r="I82" s="36">
        <v>4.76</v>
      </c>
      <c r="J82" s="38">
        <v>0.45</v>
      </c>
      <c r="K82" s="38">
        <v>2.33</v>
      </c>
      <c r="L82" s="38">
        <v>1.57</v>
      </c>
      <c r="M82" s="37">
        <v>0.38</v>
      </c>
    </row>
    <row r="83" spans="2:18" x14ac:dyDescent="0.2">
      <c r="B83" s="36" t="s">
        <v>113</v>
      </c>
      <c r="C83" s="37">
        <v>28</v>
      </c>
      <c r="D83" s="36">
        <v>0.87</v>
      </c>
      <c r="E83" s="38">
        <v>3.3000000000000002E-2</v>
      </c>
      <c r="F83" s="38">
        <v>0.23</v>
      </c>
      <c r="G83" s="38">
        <v>0.22</v>
      </c>
      <c r="H83" s="37">
        <v>0.05</v>
      </c>
      <c r="I83" s="36">
        <v>4.5599999999999996</v>
      </c>
      <c r="J83" s="38">
        <v>0.32</v>
      </c>
      <c r="K83" s="38">
        <v>1.74</v>
      </c>
      <c r="L83" s="38">
        <v>2.0299999999999998</v>
      </c>
      <c r="M83" s="37">
        <v>0.32</v>
      </c>
    </row>
    <row r="84" spans="2:18" x14ac:dyDescent="0.2">
      <c r="B84" s="36" t="s">
        <v>114</v>
      </c>
      <c r="C84" s="37">
        <v>29</v>
      </c>
      <c r="D84" s="36">
        <v>0.86</v>
      </c>
      <c r="E84" s="38">
        <v>3.5000000000000003E-2</v>
      </c>
      <c r="F84" s="38">
        <v>0.28999999999999998</v>
      </c>
      <c r="G84" s="38">
        <v>0.24</v>
      </c>
      <c r="H84" s="37">
        <v>0.04</v>
      </c>
      <c r="I84" s="36">
        <v>3.86</v>
      </c>
      <c r="J84" s="38">
        <v>0.38</v>
      </c>
      <c r="K84" s="38">
        <v>2.2999999999999998</v>
      </c>
      <c r="L84" s="38">
        <v>1.96</v>
      </c>
      <c r="M84" s="37">
        <v>0.23</v>
      </c>
      <c r="O84" s="45"/>
      <c r="P84" s="45" t="s">
        <v>269</v>
      </c>
      <c r="Q84" s="45" t="s">
        <v>268</v>
      </c>
      <c r="R84" s="45" t="s">
        <v>267</v>
      </c>
    </row>
    <row r="85" spans="2:18" x14ac:dyDescent="0.2">
      <c r="B85" s="36" t="s">
        <v>115</v>
      </c>
      <c r="C85" s="37">
        <v>36</v>
      </c>
      <c r="D85" s="36">
        <v>0.95</v>
      </c>
      <c r="E85" s="38">
        <v>3.4000000000000002E-2</v>
      </c>
      <c r="F85" s="38">
        <v>0.26</v>
      </c>
      <c r="G85" s="38">
        <v>0.19</v>
      </c>
      <c r="H85" s="37">
        <v>4.7E-2</v>
      </c>
      <c r="I85" s="36">
        <v>3.6</v>
      </c>
      <c r="J85" s="38">
        <v>0.32</v>
      </c>
      <c r="K85" s="38">
        <v>1.53</v>
      </c>
      <c r="L85" s="38">
        <v>1.17</v>
      </c>
      <c r="M85" s="37">
        <v>0.24</v>
      </c>
      <c r="O85" s="45" t="s">
        <v>844</v>
      </c>
      <c r="P85" s="78">
        <f>M72*1000</f>
        <v>175760.00000000003</v>
      </c>
      <c r="Q85" s="45">
        <f>J100</f>
        <v>188.8</v>
      </c>
      <c r="R85" s="45">
        <f>Q85/P85</f>
        <v>1.0741920801092398E-3</v>
      </c>
    </row>
    <row r="86" spans="2:18" x14ac:dyDescent="0.2">
      <c r="B86" s="36" t="s">
        <v>116</v>
      </c>
      <c r="C86" s="37">
        <v>54</v>
      </c>
      <c r="D86" s="36">
        <v>0.4</v>
      </c>
      <c r="E86" s="38">
        <v>2.7E-2</v>
      </c>
      <c r="F86" s="38">
        <v>0.13</v>
      </c>
      <c r="G86" s="38">
        <v>0.23</v>
      </c>
      <c r="H86" s="37">
        <v>3.2000000000000001E-2</v>
      </c>
      <c r="I86" s="36">
        <v>3.35</v>
      </c>
      <c r="J86" s="38">
        <v>0.3</v>
      </c>
      <c r="K86" s="38">
        <v>1.35</v>
      </c>
      <c r="L86" s="38">
        <v>2.58</v>
      </c>
      <c r="M86" s="37">
        <v>0.27</v>
      </c>
      <c r="N86" s="46" t="s">
        <v>215</v>
      </c>
      <c r="O86" s="45" t="s">
        <v>339</v>
      </c>
      <c r="P86" s="78">
        <f>M73*1000</f>
        <v>21559.999999999996</v>
      </c>
      <c r="Q86" s="45">
        <f>I102</f>
        <v>81.94</v>
      </c>
      <c r="R86" s="45">
        <f>Q86/P86</f>
        <v>3.8005565862708726E-3</v>
      </c>
    </row>
    <row r="87" spans="2:18" x14ac:dyDescent="0.2">
      <c r="B87" s="40"/>
      <c r="C87" s="48" t="s">
        <v>214</v>
      </c>
      <c r="D87" s="49">
        <f>(D82+D83+D84+D85+D86)/5</f>
        <v>0.82000000000000006</v>
      </c>
      <c r="E87" s="49"/>
      <c r="F87" s="49"/>
      <c r="G87" s="49"/>
      <c r="H87" s="49"/>
      <c r="I87" s="49">
        <f>(I82+I83+I84+I85+I86)/5</f>
        <v>4.0260000000000007</v>
      </c>
      <c r="J87" s="42"/>
      <c r="K87" s="42"/>
      <c r="L87" s="42"/>
      <c r="M87" s="41"/>
      <c r="N87" s="47">
        <f>D87+I87</f>
        <v>4.846000000000001</v>
      </c>
      <c r="O87" s="45" t="s">
        <v>403</v>
      </c>
      <c r="P87" s="78">
        <f>M74*1000</f>
        <v>12080.000000000002</v>
      </c>
      <c r="Q87" s="45">
        <f>I103</f>
        <v>200.68</v>
      </c>
      <c r="R87" s="45">
        <f>Q87/P87</f>
        <v>1.6612582781456952E-2</v>
      </c>
    </row>
    <row r="88" spans="2:18" x14ac:dyDescent="0.2">
      <c r="B88" s="33" t="s">
        <v>97</v>
      </c>
      <c r="C88" s="34" t="s">
        <v>147</v>
      </c>
      <c r="D88" s="33" t="s">
        <v>67</v>
      </c>
      <c r="E88" s="35" t="s">
        <v>148</v>
      </c>
      <c r="F88" s="35" t="s">
        <v>149</v>
      </c>
      <c r="G88" s="35" t="s">
        <v>150</v>
      </c>
      <c r="H88" s="34" t="s">
        <v>151</v>
      </c>
      <c r="I88" s="33" t="s">
        <v>67</v>
      </c>
      <c r="J88" s="35" t="s">
        <v>148</v>
      </c>
      <c r="K88" s="35" t="s">
        <v>149</v>
      </c>
      <c r="L88" s="35" t="s">
        <v>150</v>
      </c>
      <c r="M88" s="34" t="s">
        <v>151</v>
      </c>
      <c r="O88" s="45"/>
      <c r="P88" s="45"/>
      <c r="Q88" s="45"/>
      <c r="R88" s="45">
        <f>(R85+R86+R87)/3</f>
        <v>7.1624438159456879E-3</v>
      </c>
    </row>
    <row r="89" spans="2:18" x14ac:dyDescent="0.2">
      <c r="B89" s="36"/>
      <c r="C89" s="37" t="s">
        <v>106</v>
      </c>
      <c r="D89" s="36" t="s">
        <v>152</v>
      </c>
      <c r="E89" s="38" t="s">
        <v>152</v>
      </c>
      <c r="F89" s="38" t="s">
        <v>152</v>
      </c>
      <c r="G89" s="38" t="s">
        <v>152</v>
      </c>
      <c r="H89" s="37" t="s">
        <v>152</v>
      </c>
      <c r="I89" s="36" t="s">
        <v>152</v>
      </c>
      <c r="J89" s="38" t="s">
        <v>152</v>
      </c>
      <c r="K89" s="38" t="s">
        <v>152</v>
      </c>
      <c r="L89" s="38" t="s">
        <v>152</v>
      </c>
      <c r="M89" s="37" t="s">
        <v>152</v>
      </c>
    </row>
    <row r="90" spans="2:18" x14ac:dyDescent="0.2">
      <c r="B90" s="36"/>
      <c r="C90" s="37"/>
      <c r="D90" s="39" t="s">
        <v>142</v>
      </c>
      <c r="E90" s="38"/>
      <c r="F90" s="38"/>
      <c r="G90" s="38"/>
      <c r="H90" s="37"/>
      <c r="I90" s="36" t="s">
        <v>143</v>
      </c>
      <c r="J90" s="38"/>
      <c r="K90" s="38"/>
      <c r="L90" s="38"/>
      <c r="M90" s="37"/>
    </row>
    <row r="91" spans="2:18" x14ac:dyDescent="0.2">
      <c r="B91" s="36" t="s">
        <v>112</v>
      </c>
      <c r="C91" s="37">
        <v>26</v>
      </c>
      <c r="D91" s="36">
        <v>5.16</v>
      </c>
      <c r="E91" s="38">
        <v>0.54</v>
      </c>
      <c r="F91" s="38">
        <v>2.58</v>
      </c>
      <c r="G91" s="38">
        <v>1.72</v>
      </c>
      <c r="H91" s="37">
        <v>0.62</v>
      </c>
      <c r="I91" s="36">
        <v>15.51</v>
      </c>
      <c r="J91" s="38">
        <v>1.07</v>
      </c>
      <c r="K91" s="38">
        <v>5.18</v>
      </c>
      <c r="L91" s="38">
        <v>3.31</v>
      </c>
      <c r="M91" s="37">
        <v>1.24</v>
      </c>
    </row>
    <row r="92" spans="2:18" x14ac:dyDescent="0.2">
      <c r="B92" s="36" t="s">
        <v>113</v>
      </c>
      <c r="C92" s="37">
        <v>28</v>
      </c>
      <c r="D92" s="36">
        <v>5.43</v>
      </c>
      <c r="E92" s="38">
        <v>0.4</v>
      </c>
      <c r="F92" s="38">
        <v>2.21</v>
      </c>
      <c r="G92" s="38">
        <v>2.0099999999999998</v>
      </c>
      <c r="H92" s="37">
        <v>0.46</v>
      </c>
      <c r="I92" s="36">
        <v>19.920000000000002</v>
      </c>
      <c r="J92" s="38">
        <v>0.9</v>
      </c>
      <c r="K92" s="38">
        <v>4.74</v>
      </c>
      <c r="L92" s="38">
        <v>3.32</v>
      </c>
      <c r="M92" s="37">
        <v>0.96</v>
      </c>
    </row>
    <row r="93" spans="2:18" x14ac:dyDescent="0.2">
      <c r="B93" s="36" t="s">
        <v>114</v>
      </c>
      <c r="C93" s="37">
        <v>29</v>
      </c>
      <c r="D93" s="36">
        <v>6.01</v>
      </c>
      <c r="E93" s="38">
        <v>0.6</v>
      </c>
      <c r="F93" s="38">
        <v>3.25</v>
      </c>
      <c r="G93" s="38">
        <v>3.49</v>
      </c>
      <c r="H93" s="37">
        <v>0.6</v>
      </c>
      <c r="I93" s="36">
        <v>15.13</v>
      </c>
      <c r="J93" s="38">
        <v>0.98</v>
      </c>
      <c r="K93" s="38">
        <v>5.33</v>
      </c>
      <c r="L93" s="38">
        <v>6.51</v>
      </c>
      <c r="M93" s="37">
        <v>1.19</v>
      </c>
    </row>
    <row r="94" spans="2:18" x14ac:dyDescent="0.2">
      <c r="B94" s="36" t="s">
        <v>115</v>
      </c>
      <c r="C94" s="37">
        <v>36</v>
      </c>
      <c r="D94" s="36">
        <v>4.2300000000000004</v>
      </c>
      <c r="E94" s="38">
        <v>0.42</v>
      </c>
      <c r="F94" s="38">
        <v>2.44</v>
      </c>
      <c r="G94" s="38">
        <v>1.71</v>
      </c>
      <c r="H94" s="37">
        <v>0.45</v>
      </c>
      <c r="I94" s="36">
        <v>16.309999999999999</v>
      </c>
      <c r="J94" s="38">
        <v>0.97</v>
      </c>
      <c r="K94" s="38">
        <v>4.8899999999999997</v>
      </c>
      <c r="L94" s="38">
        <v>3</v>
      </c>
      <c r="M94" s="37">
        <v>0.98</v>
      </c>
    </row>
    <row r="95" spans="2:18" x14ac:dyDescent="0.2">
      <c r="B95" s="36" t="s">
        <v>116</v>
      </c>
      <c r="C95" s="37">
        <v>54</v>
      </c>
      <c r="D95" s="36">
        <v>4.8600000000000003</v>
      </c>
      <c r="E95" s="38">
        <v>0.45</v>
      </c>
      <c r="F95" s="38">
        <v>1.98</v>
      </c>
      <c r="G95" s="38">
        <v>3.44</v>
      </c>
      <c r="H95" s="37">
        <v>0.44</v>
      </c>
      <c r="I95" s="36">
        <v>15.68</v>
      </c>
      <c r="J95" s="38">
        <v>1</v>
      </c>
      <c r="K95" s="38">
        <v>4.67</v>
      </c>
      <c r="L95" s="38">
        <v>6.11</v>
      </c>
      <c r="M95" s="37">
        <v>1.26</v>
      </c>
    </row>
    <row r="96" spans="2:18" x14ac:dyDescent="0.2">
      <c r="B96" s="40"/>
      <c r="C96" s="48" t="s">
        <v>214</v>
      </c>
      <c r="D96" s="49">
        <f>(D91+D92+D93+D94+D95)/5</f>
        <v>5.1379999999999999</v>
      </c>
      <c r="E96" s="42"/>
      <c r="F96" s="42"/>
      <c r="G96" s="42"/>
      <c r="H96" s="41"/>
      <c r="I96" s="49">
        <f>(I91+I92+I93+I94+I95)/5</f>
        <v>16.510000000000002</v>
      </c>
      <c r="J96" s="42"/>
      <c r="K96" s="42"/>
      <c r="L96" s="42"/>
      <c r="M96" s="41"/>
    </row>
    <row r="97" spans="1:13" x14ac:dyDescent="0.2">
      <c r="B97" s="56"/>
      <c r="C97" s="54"/>
      <c r="D97" s="55"/>
      <c r="E97" s="38"/>
      <c r="F97" s="38"/>
      <c r="G97" s="38"/>
      <c r="H97" s="38"/>
      <c r="I97" s="55"/>
      <c r="J97" s="38"/>
      <c r="K97" s="38"/>
      <c r="L97" s="38"/>
      <c r="M97" s="38"/>
    </row>
    <row r="98" spans="1:13" x14ac:dyDescent="0.2">
      <c r="B98" s="56" t="s">
        <v>399</v>
      </c>
      <c r="C98" s="54"/>
      <c r="D98" s="55"/>
      <c r="E98" s="38"/>
      <c r="F98" s="38"/>
      <c r="G98" s="38"/>
      <c r="H98" s="38"/>
      <c r="I98" s="55"/>
      <c r="J98" s="38"/>
      <c r="K98" s="38"/>
      <c r="L98" s="38"/>
      <c r="M98" s="38"/>
    </row>
    <row r="99" spans="1:13" x14ac:dyDescent="0.2">
      <c r="B99" s="58" t="s">
        <v>392</v>
      </c>
      <c r="C99" s="59" t="s">
        <v>393</v>
      </c>
      <c r="D99" s="59" t="s">
        <v>394</v>
      </c>
      <c r="E99" s="59" t="s">
        <v>395</v>
      </c>
      <c r="F99" s="60" t="s">
        <v>396</v>
      </c>
      <c r="G99" s="60" t="s">
        <v>397</v>
      </c>
      <c r="H99" s="60" t="s">
        <v>398</v>
      </c>
      <c r="I99" s="55" t="s">
        <v>214</v>
      </c>
      <c r="J99" s="55" t="s">
        <v>270</v>
      </c>
      <c r="K99" s="38"/>
      <c r="L99" s="38"/>
      <c r="M99" s="38"/>
    </row>
    <row r="100" spans="1:13" x14ac:dyDescent="0.2">
      <c r="B100" s="38" t="s">
        <v>67</v>
      </c>
      <c r="C100" s="38" t="s">
        <v>400</v>
      </c>
      <c r="D100" s="38">
        <v>111.1</v>
      </c>
      <c r="E100" s="57">
        <v>102.3</v>
      </c>
      <c r="F100" s="57">
        <v>108.1</v>
      </c>
      <c r="G100" s="57">
        <v>140.19999999999999</v>
      </c>
      <c r="H100" s="57">
        <v>118.1</v>
      </c>
      <c r="I100" s="55">
        <f>(D100+E100+F100+G100+H100)/5</f>
        <v>115.96</v>
      </c>
      <c r="J100" s="55">
        <f>I100+I101</f>
        <v>188.8</v>
      </c>
      <c r="K100" s="38"/>
      <c r="L100" s="38"/>
      <c r="M100" s="38"/>
    </row>
    <row r="101" spans="1:13" x14ac:dyDescent="0.2">
      <c r="B101" s="38"/>
      <c r="C101" s="38" t="s">
        <v>401</v>
      </c>
      <c r="D101" s="38">
        <v>67.599999999999994</v>
      </c>
      <c r="E101" s="38">
        <v>60.9</v>
      </c>
      <c r="F101" s="57">
        <v>57.5</v>
      </c>
      <c r="G101" s="57">
        <v>59.7</v>
      </c>
      <c r="H101" s="57">
        <v>118.5</v>
      </c>
      <c r="I101" s="55">
        <f>(D101+E101+F101+G101+H101)/5</f>
        <v>72.84</v>
      </c>
      <c r="J101" s="55"/>
      <c r="K101" s="38"/>
      <c r="L101" s="38"/>
      <c r="M101" s="38"/>
    </row>
    <row r="102" spans="1:13" x14ac:dyDescent="0.2">
      <c r="B102" s="38"/>
      <c r="C102" s="38" t="s">
        <v>402</v>
      </c>
      <c r="D102" s="38">
        <v>74.7</v>
      </c>
      <c r="E102" s="57">
        <v>90.8</v>
      </c>
      <c r="F102" s="57">
        <v>87.7</v>
      </c>
      <c r="G102" s="57">
        <v>78.8</v>
      </c>
      <c r="H102" s="57">
        <v>77.7</v>
      </c>
      <c r="I102" s="55">
        <f>(D102+E102+F102+G102+H102)/5</f>
        <v>81.94</v>
      </c>
      <c r="J102" s="55"/>
      <c r="K102" s="38"/>
      <c r="L102" s="38"/>
      <c r="M102" s="38"/>
    </row>
    <row r="103" spans="1:13" x14ac:dyDescent="0.2">
      <c r="B103" s="38"/>
      <c r="C103" s="38" t="s">
        <v>403</v>
      </c>
      <c r="D103" s="57">
        <v>194.9</v>
      </c>
      <c r="E103" s="57">
        <v>283.8</v>
      </c>
      <c r="F103" s="57">
        <v>237.3</v>
      </c>
      <c r="G103" s="57">
        <v>161.19999999999999</v>
      </c>
      <c r="H103" s="57">
        <v>126.2</v>
      </c>
      <c r="I103" s="55">
        <f>(D103+E103+F103+G103+H103)/5</f>
        <v>200.68</v>
      </c>
      <c r="J103" s="38"/>
      <c r="K103" s="38"/>
      <c r="L103" s="38"/>
      <c r="M103" s="38"/>
    </row>
    <row r="104" spans="1:13" x14ac:dyDescent="0.2">
      <c r="B104" s="38"/>
      <c r="C104" s="38"/>
      <c r="D104" s="38"/>
      <c r="E104" s="38"/>
      <c r="F104" s="38"/>
      <c r="G104" s="38"/>
      <c r="H104" s="38"/>
      <c r="I104" s="55"/>
      <c r="J104" s="38"/>
      <c r="K104" s="38"/>
      <c r="L104" s="38"/>
      <c r="M104" s="38"/>
    </row>
    <row r="106" spans="1:13" x14ac:dyDescent="0.2">
      <c r="A106" s="7" t="s">
        <v>976</v>
      </c>
      <c r="B106" s="7" t="s">
        <v>986</v>
      </c>
    </row>
    <row r="107" spans="1:13" x14ac:dyDescent="0.2">
      <c r="A107" s="7" t="s">
        <v>977</v>
      </c>
      <c r="B107" s="7" t="s">
        <v>154</v>
      </c>
    </row>
    <row r="109" spans="1:13" x14ac:dyDescent="0.2">
      <c r="B109" s="7" t="s">
        <v>155</v>
      </c>
    </row>
    <row r="111" spans="1:13" x14ac:dyDescent="0.2">
      <c r="C111" t="s">
        <v>156</v>
      </c>
    </row>
    <row r="112" spans="1:13" x14ac:dyDescent="0.2">
      <c r="C112">
        <v>20</v>
      </c>
      <c r="D112" t="s">
        <v>157</v>
      </c>
      <c r="E112">
        <v>40</v>
      </c>
      <c r="F112" t="s">
        <v>157</v>
      </c>
      <c r="G112">
        <v>60</v>
      </c>
      <c r="H112" t="s">
        <v>157</v>
      </c>
    </row>
    <row r="113" spans="2:23" x14ac:dyDescent="0.2">
      <c r="B113" t="s">
        <v>158</v>
      </c>
      <c r="C113">
        <v>14.3</v>
      </c>
      <c r="D113">
        <v>2.1</v>
      </c>
      <c r="E113">
        <v>28.2</v>
      </c>
      <c r="F113">
        <v>2.7</v>
      </c>
      <c r="G113">
        <v>36.299999999999997</v>
      </c>
      <c r="H113">
        <v>2.7</v>
      </c>
    </row>
    <row r="114" spans="2:23" x14ac:dyDescent="0.2">
      <c r="B114" t="s">
        <v>159</v>
      </c>
      <c r="C114">
        <v>57</v>
      </c>
      <c r="D114">
        <v>15.3</v>
      </c>
      <c r="E114">
        <v>104.7</v>
      </c>
      <c r="F114">
        <v>27.1</v>
      </c>
      <c r="G114">
        <v>163.69999999999999</v>
      </c>
      <c r="H114">
        <v>39.1</v>
      </c>
    </row>
    <row r="115" spans="2:23" x14ac:dyDescent="0.2">
      <c r="B115" t="s">
        <v>160</v>
      </c>
      <c r="C115">
        <v>922</v>
      </c>
      <c r="E115">
        <v>490</v>
      </c>
      <c r="G115">
        <v>312</v>
      </c>
    </row>
    <row r="118" spans="2:23" x14ac:dyDescent="0.2">
      <c r="B118" s="7" t="s">
        <v>161</v>
      </c>
    </row>
    <row r="119" spans="2:23" x14ac:dyDescent="0.2">
      <c r="B119" t="s">
        <v>162</v>
      </c>
      <c r="C119" t="s">
        <v>67</v>
      </c>
      <c r="D119" t="s">
        <v>148</v>
      </c>
      <c r="E119" t="s">
        <v>149</v>
      </c>
      <c r="F119" t="s">
        <v>150</v>
      </c>
      <c r="G119" t="s">
        <v>151</v>
      </c>
    </row>
    <row r="120" spans="2:23" x14ac:dyDescent="0.2">
      <c r="B120">
        <v>20</v>
      </c>
      <c r="C120">
        <v>1.71</v>
      </c>
      <c r="D120">
        <v>0.21</v>
      </c>
      <c r="E120">
        <v>0.74</v>
      </c>
      <c r="F120">
        <v>0.4</v>
      </c>
      <c r="G120">
        <v>0.14000000000000001</v>
      </c>
    </row>
    <row r="121" spans="2:23" x14ac:dyDescent="0.2">
      <c r="B121">
        <v>40</v>
      </c>
      <c r="C121">
        <v>1.53</v>
      </c>
      <c r="D121">
        <v>0.13</v>
      </c>
      <c r="E121">
        <v>0.62</v>
      </c>
      <c r="F121">
        <v>0.26</v>
      </c>
      <c r="G121">
        <v>0.11</v>
      </c>
    </row>
    <row r="122" spans="2:23" x14ac:dyDescent="0.2">
      <c r="B122">
        <v>60</v>
      </c>
      <c r="C122">
        <v>1.58</v>
      </c>
      <c r="D122">
        <v>0.13</v>
      </c>
      <c r="E122">
        <v>0.56000000000000005</v>
      </c>
      <c r="F122">
        <v>0.38</v>
      </c>
      <c r="G122">
        <v>0.12</v>
      </c>
    </row>
    <row r="123" spans="2:23" x14ac:dyDescent="0.2">
      <c r="B123" t="s">
        <v>163</v>
      </c>
      <c r="C123" s="43" t="s">
        <v>164</v>
      </c>
      <c r="D123" s="43" t="s">
        <v>165</v>
      </c>
      <c r="E123" s="43" t="s">
        <v>166</v>
      </c>
      <c r="F123" s="43" t="s">
        <v>167</v>
      </c>
      <c r="G123" s="43" t="s">
        <v>168</v>
      </c>
    </row>
    <row r="125" spans="2:23" x14ac:dyDescent="0.2">
      <c r="B125" t="s">
        <v>169</v>
      </c>
    </row>
    <row r="126" spans="2:23" x14ac:dyDescent="0.2">
      <c r="B126" t="s">
        <v>170</v>
      </c>
    </row>
    <row r="127" spans="2:23" x14ac:dyDescent="0.2">
      <c r="C127" t="s">
        <v>67</v>
      </c>
      <c r="F127" t="s">
        <v>148</v>
      </c>
      <c r="I127" t="s">
        <v>149</v>
      </c>
      <c r="L127" t="s">
        <v>150</v>
      </c>
      <c r="O127" t="s">
        <v>151</v>
      </c>
      <c r="R127" t="s">
        <v>171</v>
      </c>
      <c r="U127" t="s">
        <v>52</v>
      </c>
    </row>
    <row r="128" spans="2:23" x14ac:dyDescent="0.2">
      <c r="B128" t="s">
        <v>172</v>
      </c>
      <c r="C128">
        <v>20</v>
      </c>
      <c r="D128">
        <v>40</v>
      </c>
      <c r="E128">
        <v>60</v>
      </c>
      <c r="F128">
        <v>20</v>
      </c>
      <c r="G128">
        <v>40</v>
      </c>
      <c r="H128">
        <v>60</v>
      </c>
      <c r="I128">
        <v>20</v>
      </c>
      <c r="J128">
        <v>40</v>
      </c>
      <c r="K128">
        <v>60</v>
      </c>
      <c r="L128">
        <v>20</v>
      </c>
      <c r="M128">
        <v>40</v>
      </c>
      <c r="N128">
        <v>60</v>
      </c>
      <c r="O128">
        <v>20</v>
      </c>
      <c r="P128">
        <v>40</v>
      </c>
      <c r="Q128">
        <v>60</v>
      </c>
      <c r="R128">
        <v>20</v>
      </c>
      <c r="S128">
        <v>40</v>
      </c>
      <c r="T128">
        <v>60</v>
      </c>
      <c r="U128">
        <v>20</v>
      </c>
      <c r="V128">
        <v>40</v>
      </c>
      <c r="W128">
        <v>60</v>
      </c>
    </row>
    <row r="129" spans="2:23" x14ac:dyDescent="0.2">
      <c r="B129" s="7" t="s">
        <v>173</v>
      </c>
    </row>
    <row r="130" spans="2:23" x14ac:dyDescent="0.2">
      <c r="B130" t="s">
        <v>174</v>
      </c>
      <c r="C130">
        <v>1.6</v>
      </c>
      <c r="D130">
        <v>1.64</v>
      </c>
      <c r="E130">
        <v>1.52</v>
      </c>
      <c r="F130">
        <v>0.11</v>
      </c>
      <c r="G130">
        <v>0.11</v>
      </c>
      <c r="H130">
        <v>0.12</v>
      </c>
      <c r="I130">
        <v>0.57999999999999996</v>
      </c>
      <c r="J130">
        <v>0.53</v>
      </c>
      <c r="K130">
        <v>0.51</v>
      </c>
      <c r="L130">
        <v>0.47</v>
      </c>
      <c r="M130">
        <v>0.42</v>
      </c>
      <c r="N130">
        <v>0.49</v>
      </c>
      <c r="O130">
        <v>0.12</v>
      </c>
      <c r="P130">
        <v>0.12</v>
      </c>
      <c r="Q130">
        <v>0.12</v>
      </c>
    </row>
    <row r="131" spans="2:23" x14ac:dyDescent="0.2">
      <c r="B131" t="s">
        <v>157</v>
      </c>
      <c r="C131">
        <v>0.1</v>
      </c>
      <c r="D131">
        <v>0.18</v>
      </c>
      <c r="E131">
        <v>0.14000000000000001</v>
      </c>
      <c r="F131">
        <v>0.01</v>
      </c>
      <c r="G131">
        <v>0.02</v>
      </c>
      <c r="H131">
        <v>0.02</v>
      </c>
      <c r="I131">
        <v>0.11</v>
      </c>
      <c r="J131">
        <v>0.11</v>
      </c>
      <c r="K131">
        <v>0.12</v>
      </c>
      <c r="L131">
        <v>0.14000000000000001</v>
      </c>
      <c r="M131">
        <v>0.12</v>
      </c>
      <c r="N131">
        <v>0.09</v>
      </c>
      <c r="O131">
        <v>0.03</v>
      </c>
      <c r="P131">
        <v>0.02</v>
      </c>
      <c r="Q131">
        <v>0.02</v>
      </c>
    </row>
    <row r="132" spans="2:23" x14ac:dyDescent="0.2">
      <c r="B132" t="s">
        <v>175</v>
      </c>
      <c r="C132">
        <v>1.56</v>
      </c>
      <c r="D132">
        <v>1.66</v>
      </c>
      <c r="E132">
        <v>1.4</v>
      </c>
      <c r="F132">
        <v>0.09</v>
      </c>
      <c r="G132">
        <v>0.1</v>
      </c>
      <c r="H132">
        <v>0.09</v>
      </c>
      <c r="I132">
        <v>0.52</v>
      </c>
      <c r="J132">
        <v>0.43</v>
      </c>
      <c r="K132">
        <v>0.44</v>
      </c>
      <c r="L132">
        <v>0.75</v>
      </c>
      <c r="M132">
        <v>0.66</v>
      </c>
      <c r="N132">
        <v>0.9</v>
      </c>
      <c r="O132">
        <v>0.11</v>
      </c>
      <c r="P132">
        <v>0.11</v>
      </c>
      <c r="Q132">
        <v>0.12</v>
      </c>
    </row>
    <row r="133" spans="2:23" x14ac:dyDescent="0.2">
      <c r="B133" t="s">
        <v>157</v>
      </c>
      <c r="C133">
        <v>0.19</v>
      </c>
      <c r="D133">
        <v>0.22</v>
      </c>
      <c r="E133">
        <v>0.14000000000000001</v>
      </c>
      <c r="F133">
        <v>0.01</v>
      </c>
      <c r="G133">
        <v>0.01</v>
      </c>
      <c r="H133">
        <v>0.01</v>
      </c>
      <c r="I133">
        <v>0.08</v>
      </c>
      <c r="J133">
        <v>7.0000000000000007E-2</v>
      </c>
      <c r="K133">
        <v>0.1</v>
      </c>
      <c r="L133">
        <v>0.31</v>
      </c>
      <c r="M133">
        <v>0.21</v>
      </c>
      <c r="N133">
        <v>0.21</v>
      </c>
      <c r="O133">
        <v>0.03</v>
      </c>
      <c r="P133">
        <v>0.03</v>
      </c>
      <c r="Q133">
        <v>0.03</v>
      </c>
    </row>
    <row r="134" spans="2:23" x14ac:dyDescent="0.2">
      <c r="B134" t="s">
        <v>176</v>
      </c>
      <c r="C134">
        <v>1.1000000000000001</v>
      </c>
      <c r="D134">
        <v>1.1200000000000001</v>
      </c>
      <c r="E134">
        <v>1.1399999999999999</v>
      </c>
      <c r="F134">
        <v>0.13</v>
      </c>
      <c r="G134">
        <v>0.13</v>
      </c>
      <c r="H134">
        <v>0.14000000000000001</v>
      </c>
      <c r="I134">
        <v>0.56000000000000005</v>
      </c>
      <c r="J134">
        <v>0.5</v>
      </c>
      <c r="K134">
        <v>0.45</v>
      </c>
      <c r="L134">
        <v>0.42</v>
      </c>
      <c r="M134">
        <v>0.39</v>
      </c>
      <c r="N134">
        <v>0.49</v>
      </c>
      <c r="O134">
        <v>0.11</v>
      </c>
      <c r="P134">
        <v>0.12</v>
      </c>
      <c r="Q134">
        <v>0.11</v>
      </c>
    </row>
    <row r="135" spans="2:23" x14ac:dyDescent="0.2">
      <c r="B135" t="s">
        <v>157</v>
      </c>
      <c r="C135">
        <v>0.15</v>
      </c>
      <c r="D135">
        <v>0.12</v>
      </c>
      <c r="E135">
        <v>0.13</v>
      </c>
      <c r="F135">
        <v>0.02</v>
      </c>
      <c r="G135">
        <v>0.01</v>
      </c>
      <c r="H135">
        <v>0.02</v>
      </c>
      <c r="I135">
        <v>0.08</v>
      </c>
      <c r="J135">
        <v>7.0000000000000007E-2</v>
      </c>
      <c r="K135">
        <v>7.0000000000000007E-2</v>
      </c>
      <c r="L135">
        <v>0.1</v>
      </c>
      <c r="M135">
        <v>0.11</v>
      </c>
      <c r="N135">
        <v>0.11</v>
      </c>
      <c r="O135">
        <v>0.02</v>
      </c>
      <c r="P135">
        <v>0.03</v>
      </c>
      <c r="Q135">
        <v>0.03</v>
      </c>
    </row>
    <row r="136" spans="2:23" x14ac:dyDescent="0.2">
      <c r="B136" t="s">
        <v>177</v>
      </c>
      <c r="C136">
        <v>0.43</v>
      </c>
      <c r="D136">
        <v>0.41</v>
      </c>
      <c r="E136">
        <v>0.42</v>
      </c>
      <c r="F136">
        <v>0.05</v>
      </c>
      <c r="G136">
        <v>0.04</v>
      </c>
      <c r="H136">
        <v>0.05</v>
      </c>
      <c r="I136">
        <v>0.28000000000000003</v>
      </c>
      <c r="J136">
        <v>0.23</v>
      </c>
      <c r="K136">
        <v>0.21</v>
      </c>
      <c r="L136">
        <v>0.34</v>
      </c>
      <c r="M136">
        <v>0.32</v>
      </c>
      <c r="N136">
        <v>0.46</v>
      </c>
      <c r="O136">
        <v>0.04</v>
      </c>
      <c r="P136">
        <v>0.04</v>
      </c>
      <c r="Q136">
        <v>0.04</v>
      </c>
    </row>
    <row r="137" spans="2:23" x14ac:dyDescent="0.2">
      <c r="B137" t="s">
        <v>157</v>
      </c>
      <c r="C137">
        <v>0.14000000000000001</v>
      </c>
      <c r="D137">
        <v>0.15</v>
      </c>
      <c r="E137">
        <v>0.13</v>
      </c>
      <c r="F137">
        <v>0.16</v>
      </c>
      <c r="G137">
        <v>0.17</v>
      </c>
      <c r="H137">
        <v>0.02</v>
      </c>
      <c r="I137">
        <v>0.13</v>
      </c>
      <c r="J137">
        <v>0.08</v>
      </c>
      <c r="K137">
        <v>0.08</v>
      </c>
      <c r="L137">
        <v>0.09</v>
      </c>
      <c r="M137">
        <v>0.13</v>
      </c>
      <c r="N137">
        <v>0.12</v>
      </c>
      <c r="O137">
        <v>0.01</v>
      </c>
      <c r="P137">
        <v>0.01</v>
      </c>
      <c r="Q137">
        <v>0.02</v>
      </c>
    </row>
    <row r="138" spans="2:23" x14ac:dyDescent="0.2">
      <c r="B138" s="44"/>
    </row>
    <row r="139" spans="2:23" x14ac:dyDescent="0.2">
      <c r="B139" s="7" t="s">
        <v>178</v>
      </c>
    </row>
    <row r="140" spans="2:23" x14ac:dyDescent="0.2">
      <c r="B140" t="s">
        <v>139</v>
      </c>
      <c r="C140">
        <v>6.9000000000000006E-2</v>
      </c>
      <c r="D140">
        <v>0.06</v>
      </c>
      <c r="E140">
        <v>6.0999999999999999E-2</v>
      </c>
      <c r="F140">
        <v>5.0000000000000001E-3</v>
      </c>
      <c r="G140">
        <v>2E-3</v>
      </c>
      <c r="H140">
        <v>3.0000000000000001E-3</v>
      </c>
      <c r="I140">
        <v>5.3999999999999999E-2</v>
      </c>
      <c r="J140">
        <v>3.4000000000000002E-2</v>
      </c>
      <c r="K140">
        <v>2.3E-2</v>
      </c>
      <c r="L140">
        <v>0.04</v>
      </c>
      <c r="M140">
        <v>2.8000000000000001E-2</v>
      </c>
      <c r="N140">
        <v>2.9000000000000001E-2</v>
      </c>
      <c r="O140">
        <v>7.0000000000000001E-3</v>
      </c>
      <c r="P140">
        <v>0.01</v>
      </c>
      <c r="Q140">
        <v>5.0000000000000001E-3</v>
      </c>
      <c r="R140">
        <v>8.9999999999999993E-3</v>
      </c>
      <c r="S140">
        <v>8.0000000000000002E-3</v>
      </c>
      <c r="T140">
        <v>4.0000000000000001E-3</v>
      </c>
      <c r="U140">
        <v>0.01</v>
      </c>
      <c r="V140">
        <v>8.9999999999999993E-3</v>
      </c>
      <c r="W140">
        <v>2E-3</v>
      </c>
    </row>
    <row r="141" spans="2:23" x14ac:dyDescent="0.2">
      <c r="B141" t="s">
        <v>157</v>
      </c>
      <c r="C141">
        <v>5.0000000000000001E-3</v>
      </c>
      <c r="D141">
        <v>3.0000000000000001E-3</v>
      </c>
      <c r="E141">
        <v>4.0000000000000001E-3</v>
      </c>
      <c r="F141">
        <v>1E-3</v>
      </c>
      <c r="G141">
        <v>1E-3</v>
      </c>
      <c r="H141">
        <v>1E-4</v>
      </c>
      <c r="I141">
        <v>0.01</v>
      </c>
      <c r="J141">
        <v>4.0000000000000001E-3</v>
      </c>
      <c r="K141">
        <v>3.0000000000000001E-3</v>
      </c>
      <c r="L141">
        <v>4.0000000000000001E-3</v>
      </c>
      <c r="M141">
        <v>4.0000000000000001E-3</v>
      </c>
      <c r="N141">
        <v>4.0000000000000001E-3</v>
      </c>
      <c r="O141">
        <v>1E-3</v>
      </c>
      <c r="P141">
        <v>1E-3</v>
      </c>
      <c r="Q141">
        <v>6.0000000000000001E-3</v>
      </c>
      <c r="R141">
        <v>2E-3</v>
      </c>
      <c r="S141">
        <v>2E-3</v>
      </c>
      <c r="T141">
        <v>2E-3</v>
      </c>
      <c r="U141">
        <v>1E-3</v>
      </c>
      <c r="V141">
        <v>0.02</v>
      </c>
      <c r="W141">
        <v>1E-3</v>
      </c>
    </row>
    <row r="142" spans="2:23" x14ac:dyDescent="0.2">
      <c r="B142" t="s">
        <v>140</v>
      </c>
      <c r="C142">
        <v>0.56999999999999995</v>
      </c>
      <c r="D142">
        <v>0.42</v>
      </c>
      <c r="E142">
        <v>30.33</v>
      </c>
      <c r="F142">
        <v>6.7000000000000004E-2</v>
      </c>
      <c r="G142">
        <v>4.9000000000000002E-2</v>
      </c>
      <c r="H142">
        <v>4.2000000000000003E-2</v>
      </c>
      <c r="I142">
        <v>0.42</v>
      </c>
      <c r="J142">
        <v>0.27</v>
      </c>
      <c r="K142">
        <v>0.22</v>
      </c>
      <c r="L142">
        <v>0.37</v>
      </c>
      <c r="M142">
        <v>0.27900000000000003</v>
      </c>
      <c r="N142">
        <v>0.309</v>
      </c>
      <c r="O142">
        <v>5.2999999999999999E-2</v>
      </c>
      <c r="P142">
        <v>3.7999999999999999E-2</v>
      </c>
      <c r="Q142">
        <v>3.2000000000000001E-2</v>
      </c>
      <c r="R142">
        <v>6.9000000000000006E-2</v>
      </c>
      <c r="S142">
        <v>7.4999999999999997E-2</v>
      </c>
      <c r="T142">
        <v>3.9E-2</v>
      </c>
      <c r="U142">
        <v>0.05</v>
      </c>
      <c r="V142">
        <v>4.9000000000000002E-2</v>
      </c>
      <c r="W142">
        <v>3.5999999999999997E-2</v>
      </c>
    </row>
    <row r="143" spans="2:23" x14ac:dyDescent="0.2">
      <c r="B143" t="s">
        <v>157</v>
      </c>
      <c r="C143">
        <v>5.3999999999999999E-2</v>
      </c>
      <c r="D143">
        <v>3.9E-2</v>
      </c>
      <c r="E143">
        <v>2.3E-2</v>
      </c>
      <c r="F143">
        <v>7.0000000000000001E-3</v>
      </c>
      <c r="G143">
        <v>8.0000000000000002E-3</v>
      </c>
      <c r="H143">
        <v>6.0000000000000001E-3</v>
      </c>
      <c r="I143">
        <v>0.13</v>
      </c>
      <c r="J143">
        <v>5.5E-2</v>
      </c>
      <c r="K143">
        <v>4.5999999999999999E-2</v>
      </c>
      <c r="L143">
        <v>8.6999999999999994E-2</v>
      </c>
      <c r="M143">
        <v>0.19900000000000001</v>
      </c>
      <c r="N143">
        <v>0.111</v>
      </c>
      <c r="O143">
        <v>1.2E-2</v>
      </c>
      <c r="P143">
        <v>0.01</v>
      </c>
      <c r="Q143">
        <v>6.0000000000000001E-3</v>
      </c>
      <c r="R143">
        <v>0.05</v>
      </c>
      <c r="S143">
        <v>6.5000000000000002E-2</v>
      </c>
      <c r="T143">
        <v>1.7999999999999999E-2</v>
      </c>
      <c r="U143">
        <v>4.0000000000000001E-3</v>
      </c>
      <c r="V143">
        <v>6.0000000000000001E-3</v>
      </c>
      <c r="W143">
        <v>3.0000000000000001E-3</v>
      </c>
    </row>
    <row r="145" spans="1:16" x14ac:dyDescent="0.2">
      <c r="A145" s="7" t="s">
        <v>976</v>
      </c>
      <c r="B145" s="2" t="s">
        <v>179</v>
      </c>
    </row>
    <row r="146" spans="1:16" x14ac:dyDescent="0.2">
      <c r="A146" s="7" t="s">
        <v>977</v>
      </c>
      <c r="B146" t="s">
        <v>180</v>
      </c>
    </row>
    <row r="147" spans="1:16" x14ac:dyDescent="0.2">
      <c r="B147" t="s">
        <v>181</v>
      </c>
    </row>
    <row r="148" spans="1:16" x14ac:dyDescent="0.2">
      <c r="B148" t="s">
        <v>182</v>
      </c>
    </row>
    <row r="151" spans="1:16" x14ac:dyDescent="0.2">
      <c r="B151" s="7" t="s">
        <v>183</v>
      </c>
    </row>
    <row r="153" spans="1:16" ht="38.25" x14ac:dyDescent="0.2">
      <c r="B153" s="1" t="s">
        <v>184</v>
      </c>
      <c r="C153" s="1" t="s">
        <v>185</v>
      </c>
      <c r="D153" s="1" t="s">
        <v>186</v>
      </c>
      <c r="E153" s="1" t="s">
        <v>187</v>
      </c>
      <c r="F153" s="1" t="s">
        <v>188</v>
      </c>
      <c r="G153" s="1" t="s">
        <v>189</v>
      </c>
      <c r="H153" s="1" t="s">
        <v>190</v>
      </c>
      <c r="I153" s="1" t="s">
        <v>191</v>
      </c>
      <c r="J153" s="1" t="s">
        <v>192</v>
      </c>
      <c r="K153" s="1" t="s">
        <v>193</v>
      </c>
      <c r="L153" s="1" t="s">
        <v>194</v>
      </c>
      <c r="M153" s="1" t="s">
        <v>195</v>
      </c>
      <c r="N153" s="1" t="s">
        <v>196</v>
      </c>
      <c r="O153" s="1" t="s">
        <v>197</v>
      </c>
      <c r="P153" s="1"/>
    </row>
    <row r="154" spans="1:16" x14ac:dyDescent="0.2">
      <c r="B154" s="7" t="s">
        <v>198</v>
      </c>
    </row>
    <row r="155" spans="1:16" x14ac:dyDescent="0.2">
      <c r="B155" t="s">
        <v>199</v>
      </c>
      <c r="C155">
        <v>0.27</v>
      </c>
      <c r="D155">
        <v>51.6</v>
      </c>
      <c r="E155" s="8">
        <v>190</v>
      </c>
      <c r="F155">
        <v>5.7</v>
      </c>
      <c r="G155">
        <v>2.2000000000000002</v>
      </c>
      <c r="H155">
        <v>4.26</v>
      </c>
      <c r="I155">
        <v>49.8</v>
      </c>
      <c r="J155">
        <v>34.299999999999997</v>
      </c>
      <c r="K155">
        <v>84.1</v>
      </c>
      <c r="L155">
        <v>126</v>
      </c>
      <c r="M155">
        <v>184</v>
      </c>
      <c r="N155">
        <v>0.41</v>
      </c>
      <c r="O155">
        <v>310</v>
      </c>
    </row>
    <row r="156" spans="1:16" x14ac:dyDescent="0.2">
      <c r="B156" t="s">
        <v>200</v>
      </c>
      <c r="C156">
        <v>0.25</v>
      </c>
      <c r="D156">
        <v>50.8</v>
      </c>
      <c r="E156">
        <v>202</v>
      </c>
      <c r="F156">
        <v>2.7</v>
      </c>
      <c r="G156">
        <v>1.4</v>
      </c>
      <c r="H156">
        <v>4.2300000000000004</v>
      </c>
      <c r="I156">
        <v>56.6</v>
      </c>
      <c r="J156">
        <v>31.3</v>
      </c>
      <c r="K156">
        <v>87.9</v>
      </c>
      <c r="L156">
        <v>125</v>
      </c>
      <c r="M156">
        <v>225</v>
      </c>
      <c r="N156">
        <v>0.36</v>
      </c>
      <c r="O156">
        <v>350</v>
      </c>
    </row>
    <row r="157" spans="1:16" x14ac:dyDescent="0.2">
      <c r="B157" t="s">
        <v>201</v>
      </c>
      <c r="C157">
        <v>0.21</v>
      </c>
      <c r="D157">
        <v>51.8</v>
      </c>
      <c r="E157">
        <v>241</v>
      </c>
      <c r="F157">
        <v>13.5</v>
      </c>
      <c r="G157">
        <v>2.6</v>
      </c>
      <c r="H157">
        <v>1.24</v>
      </c>
      <c r="I157">
        <v>47.6</v>
      </c>
      <c r="J157">
        <v>30.1</v>
      </c>
      <c r="K157">
        <v>77.7</v>
      </c>
      <c r="L157">
        <v>141</v>
      </c>
      <c r="M157">
        <v>222</v>
      </c>
      <c r="N157">
        <v>0.39</v>
      </c>
      <c r="O157">
        <v>363</v>
      </c>
    </row>
    <row r="158" spans="1:16" x14ac:dyDescent="0.2">
      <c r="B158" t="s">
        <v>202</v>
      </c>
      <c r="C158">
        <v>0.34</v>
      </c>
      <c r="D158">
        <v>51.1</v>
      </c>
      <c r="E158">
        <v>149</v>
      </c>
      <c r="F158">
        <v>6</v>
      </c>
      <c r="G158">
        <v>2.1</v>
      </c>
      <c r="H158">
        <v>1.93</v>
      </c>
      <c r="I158">
        <v>58.8</v>
      </c>
      <c r="J158">
        <v>27.5</v>
      </c>
      <c r="K158">
        <v>86.3</v>
      </c>
      <c r="L158">
        <v>80</v>
      </c>
      <c r="M158">
        <v>171</v>
      </c>
      <c r="N158">
        <v>0.32</v>
      </c>
      <c r="O158">
        <v>252</v>
      </c>
    </row>
    <row r="159" spans="1:16" x14ac:dyDescent="0.2">
      <c r="B159" s="7" t="s">
        <v>203</v>
      </c>
    </row>
    <row r="160" spans="1:16" x14ac:dyDescent="0.2">
      <c r="B160" t="s">
        <v>199</v>
      </c>
      <c r="C160">
        <v>0.27</v>
      </c>
      <c r="D160">
        <v>50.9</v>
      </c>
      <c r="E160" s="8">
        <v>187</v>
      </c>
      <c r="F160">
        <v>1.9</v>
      </c>
      <c r="G160">
        <v>1.4</v>
      </c>
      <c r="H160">
        <v>2.12</v>
      </c>
      <c r="I160">
        <v>58.3</v>
      </c>
      <c r="J160">
        <v>32.299999999999997</v>
      </c>
      <c r="K160">
        <v>90.5</v>
      </c>
      <c r="L160">
        <v>119</v>
      </c>
      <c r="M160">
        <v>214</v>
      </c>
      <c r="N160">
        <v>0.36</v>
      </c>
      <c r="O160">
        <v>333</v>
      </c>
    </row>
    <row r="161" spans="1:15" x14ac:dyDescent="0.2">
      <c r="B161" t="s">
        <v>200</v>
      </c>
      <c r="C161">
        <v>0.16</v>
      </c>
      <c r="D161">
        <v>50</v>
      </c>
      <c r="E161">
        <v>313</v>
      </c>
      <c r="F161">
        <v>8.8000000000000007</v>
      </c>
      <c r="G161">
        <v>7.6</v>
      </c>
      <c r="H161">
        <v>8.16</v>
      </c>
      <c r="I161">
        <v>42.1</v>
      </c>
      <c r="J161">
        <v>24.5</v>
      </c>
      <c r="K161">
        <v>66.599999999999994</v>
      </c>
      <c r="L161">
        <v>153</v>
      </c>
      <c r="M161">
        <v>263</v>
      </c>
      <c r="N161">
        <v>0.37</v>
      </c>
      <c r="O161">
        <v>416</v>
      </c>
    </row>
    <row r="162" spans="1:15" x14ac:dyDescent="0.2">
      <c r="B162" t="s">
        <v>201</v>
      </c>
      <c r="C162">
        <v>0.28000000000000003</v>
      </c>
      <c r="D162">
        <v>51.6</v>
      </c>
      <c r="E162">
        <v>183</v>
      </c>
      <c r="F162">
        <v>7.7</v>
      </c>
      <c r="G162">
        <v>1.3</v>
      </c>
      <c r="H162">
        <v>0.88</v>
      </c>
      <c r="I162">
        <v>50</v>
      </c>
      <c r="J162">
        <v>36.5</v>
      </c>
      <c r="K162">
        <v>86.5</v>
      </c>
      <c r="L162">
        <v>130</v>
      </c>
      <c r="M162">
        <v>178</v>
      </c>
      <c r="N162">
        <v>0.42</v>
      </c>
      <c r="O162">
        <v>307</v>
      </c>
    </row>
    <row r="163" spans="1:15" x14ac:dyDescent="0.2">
      <c r="B163" t="s">
        <v>202</v>
      </c>
      <c r="C163">
        <v>0.18</v>
      </c>
      <c r="D163">
        <v>51.1</v>
      </c>
      <c r="E163">
        <v>284</v>
      </c>
      <c r="F163">
        <v>16.600000000000001</v>
      </c>
      <c r="G163">
        <v>1.2</v>
      </c>
      <c r="H163">
        <v>0.76</v>
      </c>
      <c r="I163">
        <v>50.4</v>
      </c>
      <c r="J163">
        <v>27.7</v>
      </c>
      <c r="K163">
        <v>78.099999999999994</v>
      </c>
      <c r="L163">
        <v>154</v>
      </c>
      <c r="M163">
        <v>280</v>
      </c>
      <c r="N163">
        <v>0.35</v>
      </c>
      <c r="O163">
        <v>434</v>
      </c>
    </row>
    <row r="165" spans="1:15" x14ac:dyDescent="0.2">
      <c r="B165" t="s">
        <v>204</v>
      </c>
    </row>
    <row r="166" spans="1:15" x14ac:dyDescent="0.2">
      <c r="B166" t="s">
        <v>205</v>
      </c>
    </row>
    <row r="167" spans="1:15" x14ac:dyDescent="0.2">
      <c r="B167" t="s">
        <v>206</v>
      </c>
    </row>
    <row r="169" spans="1:15" x14ac:dyDescent="0.2">
      <c r="A169" s="7" t="s">
        <v>976</v>
      </c>
      <c r="B169" t="s">
        <v>221</v>
      </c>
    </row>
    <row r="170" spans="1:15" x14ac:dyDescent="0.2">
      <c r="A170" s="7" t="s">
        <v>977</v>
      </c>
      <c r="C170" t="s">
        <v>220</v>
      </c>
    </row>
    <row r="171" spans="1:15" x14ac:dyDescent="0.2">
      <c r="B171" t="s">
        <v>209</v>
      </c>
      <c r="C171" s="3">
        <v>15.1</v>
      </c>
    </row>
    <row r="172" spans="1:15" x14ac:dyDescent="0.2">
      <c r="B172" t="s">
        <v>296</v>
      </c>
      <c r="C172" s="3">
        <v>3.99</v>
      </c>
    </row>
    <row r="173" spans="1:15" x14ac:dyDescent="0.2">
      <c r="B173" t="s">
        <v>211</v>
      </c>
      <c r="C173" s="3">
        <v>40.94</v>
      </c>
    </row>
    <row r="174" spans="1:15" x14ac:dyDescent="0.2">
      <c r="B174" t="s">
        <v>212</v>
      </c>
      <c r="C174" s="3">
        <v>23.62</v>
      </c>
    </row>
    <row r="175" spans="1:15" x14ac:dyDescent="0.2">
      <c r="B175" t="s">
        <v>213</v>
      </c>
      <c r="C175" s="3">
        <v>254.31</v>
      </c>
    </row>
    <row r="176" spans="1:15" x14ac:dyDescent="0.2">
      <c r="C176" s="3"/>
    </row>
    <row r="177" spans="1:8" x14ac:dyDescent="0.2">
      <c r="B177" t="s">
        <v>474</v>
      </c>
      <c r="C177" s="3"/>
    </row>
    <row r="178" spans="1:8" x14ac:dyDescent="0.2">
      <c r="C178" s="3"/>
    </row>
    <row r="179" spans="1:8" x14ac:dyDescent="0.2">
      <c r="A179" s="7" t="s">
        <v>976</v>
      </c>
      <c r="B179" t="s">
        <v>262</v>
      </c>
      <c r="C179" s="3"/>
    </row>
    <row r="180" spans="1:8" x14ac:dyDescent="0.2">
      <c r="A180" s="7" t="s">
        <v>977</v>
      </c>
      <c r="B180" t="s">
        <v>294</v>
      </c>
      <c r="C180" s="7" t="s">
        <v>263</v>
      </c>
      <c r="D180" s="7" t="s">
        <v>290</v>
      </c>
      <c r="E180" s="7" t="s">
        <v>291</v>
      </c>
      <c r="F180" s="7" t="s">
        <v>292</v>
      </c>
      <c r="G180" s="7" t="s">
        <v>293</v>
      </c>
      <c r="H180" s="77" t="s">
        <v>267</v>
      </c>
    </row>
    <row r="181" spans="1:8" x14ac:dyDescent="0.2">
      <c r="B181" s="7" t="s">
        <v>264</v>
      </c>
      <c r="C181" s="3">
        <v>2023</v>
      </c>
      <c r="D181">
        <v>10.24</v>
      </c>
      <c r="E181">
        <f>C181/D181</f>
        <v>197.55859375</v>
      </c>
      <c r="F181">
        <v>1700</v>
      </c>
      <c r="G181">
        <f>F181/D181</f>
        <v>166.015625</v>
      </c>
      <c r="H181" s="45">
        <f>G181/(E181*1000)</f>
        <v>8.4033613445378156E-4</v>
      </c>
    </row>
    <row r="182" spans="1:8" x14ac:dyDescent="0.2">
      <c r="B182" s="7" t="s">
        <v>265</v>
      </c>
      <c r="C182" s="3">
        <v>116</v>
      </c>
      <c r="D182">
        <v>10.24</v>
      </c>
      <c r="E182">
        <f>C182/D182</f>
        <v>11.328125</v>
      </c>
      <c r="F182">
        <v>660</v>
      </c>
      <c r="G182">
        <f>F182/D182</f>
        <v>64.453125</v>
      </c>
      <c r="H182" s="45">
        <f>G182/(E182*1000)</f>
        <v>5.6896551724137934E-3</v>
      </c>
    </row>
    <row r="183" spans="1:8" x14ac:dyDescent="0.2">
      <c r="B183" t="s">
        <v>295</v>
      </c>
      <c r="C183" s="3" t="s">
        <v>298</v>
      </c>
      <c r="G183" t="s">
        <v>214</v>
      </c>
      <c r="H183" s="45">
        <f>(H181+H182)/2</f>
        <v>3.2649956534337877E-3</v>
      </c>
    </row>
    <row r="184" spans="1:8" x14ac:dyDescent="0.2">
      <c r="C184" s="3" t="s">
        <v>297</v>
      </c>
    </row>
    <row r="185" spans="1:8" x14ac:dyDescent="0.2">
      <c r="C185" s="3"/>
    </row>
    <row r="186" spans="1:8" x14ac:dyDescent="0.2">
      <c r="A186" s="7" t="s">
        <v>976</v>
      </c>
      <c r="B186" t="s">
        <v>311</v>
      </c>
      <c r="C186" s="3"/>
    </row>
    <row r="187" spans="1:8" x14ac:dyDescent="0.2">
      <c r="A187" s="7" t="s">
        <v>977</v>
      </c>
      <c r="B187" t="s">
        <v>331</v>
      </c>
      <c r="C187" s="3"/>
    </row>
    <row r="188" spans="1:8" x14ac:dyDescent="0.2">
      <c r="C188" s="3"/>
    </row>
    <row r="189" spans="1:8" x14ac:dyDescent="0.2">
      <c r="A189" s="7" t="s">
        <v>976</v>
      </c>
      <c r="B189" t="s">
        <v>337</v>
      </c>
      <c r="C189" s="3"/>
    </row>
    <row r="190" spans="1:8" x14ac:dyDescent="0.2">
      <c r="A190" s="7" t="s">
        <v>977</v>
      </c>
      <c r="B190" t="s">
        <v>343</v>
      </c>
      <c r="C190" s="52" t="s">
        <v>342</v>
      </c>
    </row>
    <row r="191" spans="1:8" x14ac:dyDescent="0.2">
      <c r="A191" s="7"/>
      <c r="B191" s="7" t="s">
        <v>340</v>
      </c>
      <c r="C191" s="3">
        <v>130</v>
      </c>
    </row>
    <row r="192" spans="1:8" x14ac:dyDescent="0.2">
      <c r="A192" s="7"/>
      <c r="B192" s="7" t="s">
        <v>339</v>
      </c>
      <c r="C192" s="3">
        <v>15</v>
      </c>
    </row>
    <row r="193" spans="1:17" x14ac:dyDescent="0.2">
      <c r="A193" s="7"/>
      <c r="B193" s="7" t="s">
        <v>341</v>
      </c>
      <c r="C193" s="3">
        <v>12</v>
      </c>
    </row>
    <row r="194" spans="1:17" x14ac:dyDescent="0.2">
      <c r="A194" s="7"/>
      <c r="B194" s="7" t="s">
        <v>211</v>
      </c>
      <c r="C194" s="3">
        <v>15</v>
      </c>
    </row>
    <row r="195" spans="1:17" x14ac:dyDescent="0.2">
      <c r="A195" s="7"/>
      <c r="B195" s="7" t="s">
        <v>210</v>
      </c>
      <c r="C195" s="3">
        <v>3.5</v>
      </c>
    </row>
    <row r="196" spans="1:17" x14ac:dyDescent="0.2">
      <c r="A196" s="7"/>
      <c r="C196" s="3"/>
    </row>
    <row r="197" spans="1:17" x14ac:dyDescent="0.2">
      <c r="A197" s="7" t="s">
        <v>976</v>
      </c>
      <c r="B197" t="s">
        <v>924</v>
      </c>
      <c r="C197" s="3"/>
    </row>
    <row r="198" spans="1:17" x14ac:dyDescent="0.2">
      <c r="A198" s="7" t="s">
        <v>977</v>
      </c>
      <c r="B198" s="44" t="s">
        <v>434</v>
      </c>
      <c r="C198" s="3"/>
    </row>
    <row r="199" spans="1:17" x14ac:dyDescent="0.2">
      <c r="A199" s="7"/>
      <c r="C199" s="52" t="s">
        <v>435</v>
      </c>
      <c r="D199" s="77" t="s">
        <v>266</v>
      </c>
      <c r="E199" s="47" t="s">
        <v>277</v>
      </c>
      <c r="F199" s="7" t="s">
        <v>67</v>
      </c>
      <c r="G199" s="47" t="s">
        <v>278</v>
      </c>
      <c r="H199" s="77" t="s">
        <v>267</v>
      </c>
      <c r="I199" s="77" t="s">
        <v>279</v>
      </c>
      <c r="J199" s="77" t="s">
        <v>214</v>
      </c>
      <c r="K199" s="77" t="s">
        <v>903</v>
      </c>
      <c r="L199" t="s">
        <v>277</v>
      </c>
      <c r="M199" s="77" t="s">
        <v>904</v>
      </c>
      <c r="N199" s="47" t="s">
        <v>278</v>
      </c>
      <c r="O199" s="77" t="s">
        <v>902</v>
      </c>
      <c r="P199" s="77" t="s">
        <v>905</v>
      </c>
      <c r="Q199" t="s">
        <v>456</v>
      </c>
    </row>
    <row r="200" spans="1:17" x14ac:dyDescent="0.2">
      <c r="A200" s="7"/>
      <c r="B200" t="s">
        <v>842</v>
      </c>
      <c r="C200" s="3">
        <v>13.6</v>
      </c>
      <c r="D200" s="45">
        <f t="shared" ref="D200:D205" si="10">C200/2*1000</f>
        <v>6800</v>
      </c>
      <c r="F200">
        <v>207</v>
      </c>
      <c r="H200" s="45">
        <f t="shared" ref="H200:H205" si="11">F200/D200</f>
        <v>3.0441176470588235E-2</v>
      </c>
      <c r="I200" s="45"/>
      <c r="J200" s="45">
        <f>(H200+H201+H202+I203+H205)/5</f>
        <v>1.0064422741298734E-2</v>
      </c>
      <c r="K200">
        <f t="shared" ref="K200:K205" si="12">C200*1000000</f>
        <v>13600000</v>
      </c>
      <c r="M200">
        <f t="shared" ref="M200:M205" si="13">F200*1000000</f>
        <v>207000000</v>
      </c>
      <c r="O200">
        <f>M200/K200</f>
        <v>15.220588235294118</v>
      </c>
      <c r="Q200" t="s">
        <v>457</v>
      </c>
    </row>
    <row r="201" spans="1:17" x14ac:dyDescent="0.2">
      <c r="A201" s="7"/>
      <c r="B201" t="s">
        <v>436</v>
      </c>
      <c r="C201" s="3">
        <v>25.9</v>
      </c>
      <c r="D201" s="45">
        <f t="shared" si="10"/>
        <v>12950</v>
      </c>
      <c r="F201">
        <v>93.7</v>
      </c>
      <c r="H201" s="45">
        <f t="shared" si="11"/>
        <v>7.2355212355212362E-3</v>
      </c>
      <c r="I201" s="45"/>
      <c r="K201">
        <f t="shared" si="12"/>
        <v>25900000</v>
      </c>
      <c r="M201">
        <f t="shared" si="13"/>
        <v>93700000</v>
      </c>
      <c r="O201">
        <f>M201/K201</f>
        <v>3.6177606177606179</v>
      </c>
    </row>
    <row r="202" spans="1:17" x14ac:dyDescent="0.2">
      <c r="A202" s="7"/>
      <c r="B202" t="s">
        <v>844</v>
      </c>
      <c r="C202" s="3">
        <v>232.9</v>
      </c>
      <c r="D202" s="45">
        <f t="shared" si="10"/>
        <v>116450</v>
      </c>
      <c r="F202">
        <v>241</v>
      </c>
      <c r="H202" s="45">
        <f t="shared" si="11"/>
        <v>2.0695577501073422E-3</v>
      </c>
      <c r="I202" s="45"/>
      <c r="J202" s="45"/>
      <c r="K202">
        <f t="shared" si="12"/>
        <v>232900000</v>
      </c>
      <c r="M202">
        <f t="shared" si="13"/>
        <v>241000000</v>
      </c>
      <c r="O202">
        <f>M202/K202</f>
        <v>1.0347788750536711</v>
      </c>
      <c r="Q202" t="s">
        <v>458</v>
      </c>
    </row>
    <row r="203" spans="1:17" x14ac:dyDescent="0.2">
      <c r="A203" s="7"/>
      <c r="B203" t="s">
        <v>455</v>
      </c>
      <c r="C203" s="3">
        <v>25.5</v>
      </c>
      <c r="D203" s="45">
        <f t="shared" si="10"/>
        <v>12750</v>
      </c>
      <c r="F203">
        <v>38.4</v>
      </c>
      <c r="H203" s="45">
        <f t="shared" si="11"/>
        <v>3.0117647058823527E-3</v>
      </c>
      <c r="I203" s="45">
        <f>G204/E204</f>
        <v>3.2425249169435212E-3</v>
      </c>
      <c r="J203" s="45"/>
      <c r="K203">
        <f t="shared" si="12"/>
        <v>25500000</v>
      </c>
      <c r="M203">
        <f t="shared" si="13"/>
        <v>38400000</v>
      </c>
      <c r="Q203" t="s">
        <v>459</v>
      </c>
    </row>
    <row r="204" spans="1:17" x14ac:dyDescent="0.2">
      <c r="B204" t="s">
        <v>454</v>
      </c>
      <c r="C204" s="3">
        <v>4.5999999999999996</v>
      </c>
      <c r="D204" s="45">
        <f t="shared" si="10"/>
        <v>2300</v>
      </c>
      <c r="E204">
        <v>15050</v>
      </c>
      <c r="F204">
        <v>10.4</v>
      </c>
      <c r="G204">
        <v>48.8</v>
      </c>
      <c r="H204" s="45">
        <f t="shared" si="11"/>
        <v>4.5217391304347831E-3</v>
      </c>
      <c r="I204" s="45"/>
      <c r="J204" s="45"/>
      <c r="K204">
        <f t="shared" si="12"/>
        <v>4600000</v>
      </c>
      <c r="L204">
        <f>K204+K203</f>
        <v>30100000</v>
      </c>
      <c r="M204">
        <f t="shared" si="13"/>
        <v>10400000</v>
      </c>
      <c r="N204">
        <f>M204+M203</f>
        <v>48800000</v>
      </c>
      <c r="P204">
        <f>N204/L204</f>
        <v>1.6212624584717608</v>
      </c>
    </row>
    <row r="205" spans="1:17" x14ac:dyDescent="0.2">
      <c r="B205" t="s">
        <v>437</v>
      </c>
      <c r="C205" s="3">
        <v>2.1</v>
      </c>
      <c r="D205" s="45">
        <f t="shared" si="10"/>
        <v>1050</v>
      </c>
      <c r="F205">
        <v>7.7</v>
      </c>
      <c r="H205" s="45">
        <f t="shared" si="11"/>
        <v>7.3333333333333332E-3</v>
      </c>
      <c r="I205" s="45"/>
      <c r="J205" s="45"/>
      <c r="K205">
        <f t="shared" si="12"/>
        <v>2100000</v>
      </c>
      <c r="M205">
        <f t="shared" si="13"/>
        <v>7700000</v>
      </c>
      <c r="O205">
        <f>M205/K205</f>
        <v>3.6666666666666665</v>
      </c>
    </row>
    <row r="206" spans="1:17" x14ac:dyDescent="0.2">
      <c r="C206" s="3"/>
      <c r="D206" s="45"/>
      <c r="H206" s="45"/>
      <c r="I206" s="45"/>
      <c r="J206" s="45"/>
    </row>
    <row r="207" spans="1:17" x14ac:dyDescent="0.2">
      <c r="C207" s="3"/>
    </row>
    <row r="208" spans="1:17" x14ac:dyDescent="0.2">
      <c r="A208" s="7" t="s">
        <v>976</v>
      </c>
      <c r="B208" t="s">
        <v>973</v>
      </c>
      <c r="C208" s="3"/>
    </row>
    <row r="209" spans="1:8" x14ac:dyDescent="0.2">
      <c r="A209" s="7" t="s">
        <v>977</v>
      </c>
      <c r="B209" t="s">
        <v>621</v>
      </c>
      <c r="C209" s="3"/>
    </row>
    <row r="210" spans="1:8" x14ac:dyDescent="0.2">
      <c r="C210" s="3"/>
    </row>
    <row r="211" spans="1:8" x14ac:dyDescent="0.2">
      <c r="C211" s="3"/>
    </row>
    <row r="212" spans="1:8" x14ac:dyDescent="0.2">
      <c r="A212" s="7" t="s">
        <v>976</v>
      </c>
      <c r="B212" t="s">
        <v>695</v>
      </c>
      <c r="C212" s="3"/>
    </row>
    <row r="213" spans="1:8" x14ac:dyDescent="0.2">
      <c r="A213" s="7" t="s">
        <v>977</v>
      </c>
      <c r="B213" t="s">
        <v>696</v>
      </c>
      <c r="C213" s="3"/>
    </row>
    <row r="214" spans="1:8" x14ac:dyDescent="0.2">
      <c r="B214" t="s">
        <v>697</v>
      </c>
      <c r="C214" s="3"/>
    </row>
    <row r="215" spans="1:8" x14ac:dyDescent="0.2">
      <c r="C215" s="3"/>
      <c r="D215" s="87" t="s">
        <v>470</v>
      </c>
      <c r="E215" s="87"/>
      <c r="F215" s="87"/>
    </row>
    <row r="216" spans="1:8" x14ac:dyDescent="0.2">
      <c r="D216" s="79">
        <v>1999</v>
      </c>
      <c r="E216" s="7">
        <v>2000</v>
      </c>
      <c r="F216" s="7">
        <v>2001</v>
      </c>
      <c r="G216" t="s">
        <v>214</v>
      </c>
      <c r="H216" t="s">
        <v>286</v>
      </c>
    </row>
    <row r="217" spans="1:8" x14ac:dyDescent="0.2">
      <c r="B217" s="87" t="s">
        <v>283</v>
      </c>
      <c r="C217" s="52" t="s">
        <v>699</v>
      </c>
      <c r="D217">
        <v>442.2</v>
      </c>
      <c r="E217">
        <v>426.8</v>
      </c>
      <c r="F217">
        <v>462.4</v>
      </c>
    </row>
    <row r="218" spans="1:8" x14ac:dyDescent="0.2">
      <c r="B218" s="87"/>
      <c r="C218" s="52" t="s">
        <v>67</v>
      </c>
      <c r="D218">
        <v>8</v>
      </c>
      <c r="E218">
        <v>7.7</v>
      </c>
      <c r="F218">
        <v>8.3000000000000007</v>
      </c>
    </row>
    <row r="219" spans="1:8" x14ac:dyDescent="0.2">
      <c r="B219" s="87"/>
      <c r="C219" s="52" t="s">
        <v>267</v>
      </c>
      <c r="D219">
        <f>D218/D217</f>
        <v>1.8091361374943465E-2</v>
      </c>
      <c r="E219">
        <f>E218/E217</f>
        <v>1.804123711340206E-2</v>
      </c>
      <c r="F219">
        <f>F218/F217</f>
        <v>1.7949826989619378E-2</v>
      </c>
      <c r="G219">
        <f>(D219+E219+F219)/3</f>
        <v>1.8027475159321637E-2</v>
      </c>
      <c r="H219" s="45">
        <f>(G219+G225)/2</f>
        <v>1.7008942566425295E-2</v>
      </c>
    </row>
    <row r="220" spans="1:8" x14ac:dyDescent="0.2">
      <c r="B220" s="87" t="s">
        <v>284</v>
      </c>
      <c r="C220" s="52" t="s">
        <v>699</v>
      </c>
      <c r="D220">
        <v>421.8</v>
      </c>
      <c r="E220">
        <v>415.7</v>
      </c>
      <c r="F220">
        <v>453</v>
      </c>
    </row>
    <row r="221" spans="1:8" x14ac:dyDescent="0.2">
      <c r="B221" s="87"/>
      <c r="C221" s="52" t="s">
        <v>67</v>
      </c>
      <c r="D221">
        <v>13.7</v>
      </c>
      <c r="E221">
        <v>13</v>
      </c>
      <c r="F221">
        <v>12.9</v>
      </c>
    </row>
    <row r="222" spans="1:8" x14ac:dyDescent="0.2">
      <c r="B222" s="87"/>
      <c r="C222" s="52" t="s">
        <v>267</v>
      </c>
      <c r="D222">
        <f>D221/D220</f>
        <v>3.2479848269321952E-2</v>
      </c>
      <c r="E222">
        <f>E221/E220</f>
        <v>3.1272552321385615E-2</v>
      </c>
      <c r="F222">
        <f>F221/F220</f>
        <v>2.8476821192052981E-2</v>
      </c>
      <c r="G222">
        <f>(D222+E222+F222)/3</f>
        <v>3.074307392758685E-2</v>
      </c>
    </row>
    <row r="223" spans="1:8" x14ac:dyDescent="0.2">
      <c r="B223" s="87" t="s">
        <v>285</v>
      </c>
      <c r="C223" s="52" t="s">
        <v>699</v>
      </c>
      <c r="D223">
        <v>436.5</v>
      </c>
      <c r="E223">
        <v>430.4</v>
      </c>
      <c r="F223">
        <v>469.3</v>
      </c>
    </row>
    <row r="224" spans="1:8" x14ac:dyDescent="0.2">
      <c r="B224" s="87"/>
      <c r="C224" s="52" t="s">
        <v>67</v>
      </c>
      <c r="D224">
        <v>7</v>
      </c>
      <c r="E224">
        <v>7.6</v>
      </c>
      <c r="F224">
        <v>6.7</v>
      </c>
    </row>
    <row r="225" spans="1:7" x14ac:dyDescent="0.2">
      <c r="B225" s="87"/>
      <c r="C225" s="52" t="s">
        <v>267</v>
      </c>
      <c r="D225">
        <f>D224/D223</f>
        <v>1.6036655211912942E-2</v>
      </c>
      <c r="E225">
        <f>E224/E223</f>
        <v>1.7657992565055763E-2</v>
      </c>
      <c r="F225">
        <f>F224/F223</f>
        <v>1.4276582143618155E-2</v>
      </c>
      <c r="G225">
        <f>(D225+E225+F225)/3</f>
        <v>1.5990409973528952E-2</v>
      </c>
    </row>
    <row r="226" spans="1:7" x14ac:dyDescent="0.2">
      <c r="C226" s="3"/>
    </row>
    <row r="227" spans="1:7" x14ac:dyDescent="0.2">
      <c r="A227" s="7" t="s">
        <v>976</v>
      </c>
      <c r="B227" t="s">
        <v>494</v>
      </c>
      <c r="C227" s="3"/>
    </row>
    <row r="228" spans="1:7" x14ac:dyDescent="0.2">
      <c r="A228" s="7" t="s">
        <v>977</v>
      </c>
      <c r="B228" t="s">
        <v>522</v>
      </c>
      <c r="C228" s="3"/>
    </row>
    <row r="229" spans="1:7" x14ac:dyDescent="0.2">
      <c r="A229" s="7"/>
      <c r="C229" s="3"/>
    </row>
    <row r="230" spans="1:7" x14ac:dyDescent="0.2">
      <c r="A230" s="7" t="s">
        <v>976</v>
      </c>
      <c r="B230" t="s">
        <v>524</v>
      </c>
      <c r="C230" s="3"/>
    </row>
    <row r="231" spans="1:7" x14ac:dyDescent="0.2">
      <c r="A231" s="7" t="s">
        <v>977</v>
      </c>
      <c r="B231" t="s">
        <v>611</v>
      </c>
    </row>
    <row r="232" spans="1:7" x14ac:dyDescent="0.2">
      <c r="A232" s="7"/>
      <c r="D232" t="s">
        <v>608</v>
      </c>
    </row>
    <row r="233" spans="1:7" x14ac:dyDescent="0.2">
      <c r="A233" s="7"/>
      <c r="B233" t="s">
        <v>609</v>
      </c>
      <c r="C233" s="75" t="s">
        <v>528</v>
      </c>
      <c r="D233">
        <v>515</v>
      </c>
    </row>
    <row r="234" spans="1:7" x14ac:dyDescent="0.2">
      <c r="C234" s="10" t="s">
        <v>529</v>
      </c>
      <c r="D234">
        <v>719</v>
      </c>
    </row>
    <row r="235" spans="1:7" x14ac:dyDescent="0.2">
      <c r="A235" s="7"/>
      <c r="C235" t="s">
        <v>530</v>
      </c>
      <c r="D235">
        <v>1012</v>
      </c>
    </row>
    <row r="236" spans="1:7" x14ac:dyDescent="0.2">
      <c r="A236" s="7"/>
      <c r="B236" t="s">
        <v>610</v>
      </c>
      <c r="C236" s="75" t="s">
        <v>528</v>
      </c>
      <c r="D236">
        <v>368</v>
      </c>
    </row>
    <row r="237" spans="1:7" x14ac:dyDescent="0.2">
      <c r="A237" s="7"/>
      <c r="C237" s="10" t="s">
        <v>529</v>
      </c>
      <c r="D237">
        <v>564</v>
      </c>
    </row>
    <row r="238" spans="1:7" x14ac:dyDescent="0.2">
      <c r="A238" s="7"/>
      <c r="C238" t="s">
        <v>530</v>
      </c>
      <c r="D238">
        <v>633</v>
      </c>
    </row>
    <row r="239" spans="1:7" x14ac:dyDescent="0.2">
      <c r="A239" s="7"/>
    </row>
    <row r="240" spans="1:7" x14ac:dyDescent="0.2">
      <c r="A240" s="7" t="s">
        <v>976</v>
      </c>
      <c r="B240" t="s">
        <v>616</v>
      </c>
    </row>
    <row r="241" spans="1:6" x14ac:dyDescent="0.2">
      <c r="A241" s="7" t="s">
        <v>977</v>
      </c>
      <c r="B241" t="s">
        <v>617</v>
      </c>
    </row>
    <row r="242" spans="1:6" x14ac:dyDescent="0.2">
      <c r="A242" s="7"/>
      <c r="C242" s="7" t="s">
        <v>619</v>
      </c>
      <c r="D242" s="7" t="s">
        <v>620</v>
      </c>
      <c r="E242" s="7" t="s">
        <v>187</v>
      </c>
      <c r="F242" s="77" t="s">
        <v>267</v>
      </c>
    </row>
    <row r="243" spans="1:6" x14ac:dyDescent="0.2">
      <c r="B243" t="s">
        <v>618</v>
      </c>
      <c r="C243" s="3">
        <v>511</v>
      </c>
      <c r="D243" s="76">
        <v>4.5999999999999996</v>
      </c>
      <c r="E243">
        <v>111</v>
      </c>
      <c r="F243" s="45">
        <f>D243/C243</f>
        <v>9.0019569471624251E-3</v>
      </c>
    </row>
    <row r="244" spans="1:6" x14ac:dyDescent="0.2">
      <c r="C244" s="3"/>
    </row>
    <row r="245" spans="1:6" x14ac:dyDescent="0.2">
      <c r="A245" s="7" t="s">
        <v>976</v>
      </c>
      <c r="B245" s="2" t="s">
        <v>239</v>
      </c>
      <c r="C245" s="3"/>
    </row>
    <row r="246" spans="1:6" x14ac:dyDescent="0.2">
      <c r="A246" s="7" t="s">
        <v>977</v>
      </c>
      <c r="B246" s="2" t="s">
        <v>241</v>
      </c>
      <c r="C246" s="3"/>
    </row>
    <row r="247" spans="1:6" x14ac:dyDescent="0.2">
      <c r="A247" s="7"/>
      <c r="B247" s="2" t="s">
        <v>243</v>
      </c>
      <c r="C247" s="3"/>
    </row>
    <row r="248" spans="1:6" x14ac:dyDescent="0.2">
      <c r="B248" s="2" t="s">
        <v>244</v>
      </c>
      <c r="C248" s="3"/>
    </row>
    <row r="249" spans="1:6" x14ac:dyDescent="0.2">
      <c r="B249" s="9" t="s">
        <v>245</v>
      </c>
      <c r="C249" s="52" t="s">
        <v>246</v>
      </c>
    </row>
    <row r="250" spans="1:6" x14ac:dyDescent="0.2">
      <c r="B250" s="2" t="s">
        <v>341</v>
      </c>
      <c r="C250" s="3">
        <v>102</v>
      </c>
    </row>
    <row r="251" spans="1:6" x14ac:dyDescent="0.2">
      <c r="B251" s="2" t="s">
        <v>436</v>
      </c>
      <c r="C251" s="3">
        <v>61</v>
      </c>
    </row>
    <row r="252" spans="1:6" x14ac:dyDescent="0.2">
      <c r="B252" s="2" t="s">
        <v>247</v>
      </c>
      <c r="C252" s="3">
        <v>77</v>
      </c>
    </row>
    <row r="253" spans="1:6" x14ac:dyDescent="0.2">
      <c r="B253" s="2" t="s">
        <v>248</v>
      </c>
      <c r="C253" s="3">
        <v>48</v>
      </c>
    </row>
    <row r="254" spans="1:6" x14ac:dyDescent="0.2">
      <c r="B254" s="2" t="s">
        <v>249</v>
      </c>
      <c r="C254" s="3">
        <v>32</v>
      </c>
    </row>
    <row r="255" spans="1:6" x14ac:dyDescent="0.2">
      <c r="B255" s="2" t="s">
        <v>250</v>
      </c>
      <c r="C255" s="3">
        <v>320</v>
      </c>
    </row>
    <row r="256" spans="1:6" x14ac:dyDescent="0.2">
      <c r="B256" s="2"/>
      <c r="C256" s="3"/>
    </row>
    <row r="257" spans="1:3" x14ac:dyDescent="0.2">
      <c r="A257" s="7" t="s">
        <v>976</v>
      </c>
      <c r="B257" s="2" t="s">
        <v>940</v>
      </c>
      <c r="C257" s="3"/>
    </row>
    <row r="258" spans="1:3" x14ac:dyDescent="0.2">
      <c r="A258" s="7" t="s">
        <v>977</v>
      </c>
      <c r="B258" s="2" t="s">
        <v>941</v>
      </c>
      <c r="C258" s="3"/>
    </row>
    <row r="259" spans="1:3" x14ac:dyDescent="0.2">
      <c r="B259" s="2" t="s">
        <v>942</v>
      </c>
      <c r="C259" s="3"/>
    </row>
    <row r="260" spans="1:3" x14ac:dyDescent="0.2">
      <c r="B260" s="2" t="s">
        <v>943</v>
      </c>
      <c r="C260" s="3"/>
    </row>
    <row r="261" spans="1:3" x14ac:dyDescent="0.2">
      <c r="B261" s="2" t="s">
        <v>944</v>
      </c>
      <c r="C261" s="3"/>
    </row>
    <row r="262" spans="1:3" x14ac:dyDescent="0.2">
      <c r="B262" s="2" t="s">
        <v>945</v>
      </c>
      <c r="C262" s="3"/>
    </row>
    <row r="263" spans="1:3" x14ac:dyDescent="0.2">
      <c r="B263" s="2" t="s">
        <v>946</v>
      </c>
      <c r="C263" s="3"/>
    </row>
    <row r="264" spans="1:3" x14ac:dyDescent="0.2">
      <c r="B264" s="2" t="s">
        <v>947</v>
      </c>
      <c r="C264" s="3"/>
    </row>
    <row r="265" spans="1:3" x14ac:dyDescent="0.2">
      <c r="B265" s="2" t="s">
        <v>948</v>
      </c>
      <c r="C265" s="3"/>
    </row>
    <row r="266" spans="1:3" x14ac:dyDescent="0.2">
      <c r="B266" s="2" t="s">
        <v>949</v>
      </c>
      <c r="C266" s="3"/>
    </row>
    <row r="267" spans="1:3" x14ac:dyDescent="0.2">
      <c r="B267" s="2" t="s">
        <v>950</v>
      </c>
      <c r="C267" s="3"/>
    </row>
    <row r="268" spans="1:3" x14ac:dyDescent="0.2">
      <c r="B268" s="2" t="s">
        <v>951</v>
      </c>
      <c r="C268" s="3"/>
    </row>
    <row r="269" spans="1:3" x14ac:dyDescent="0.2">
      <c r="B269" s="2" t="s">
        <v>952</v>
      </c>
      <c r="C269" s="3"/>
    </row>
    <row r="270" spans="1:3" x14ac:dyDescent="0.2">
      <c r="B270" s="2" t="s">
        <v>953</v>
      </c>
      <c r="C270" s="3"/>
    </row>
    <row r="271" spans="1:3" x14ac:dyDescent="0.2">
      <c r="B271" s="2" t="s">
        <v>954</v>
      </c>
      <c r="C271" s="3"/>
    </row>
    <row r="272" spans="1:3" x14ac:dyDescent="0.2">
      <c r="B272" s="2" t="s">
        <v>955</v>
      </c>
      <c r="C272" s="3"/>
    </row>
    <row r="273" spans="1:5" x14ac:dyDescent="0.2">
      <c r="B273" s="2" t="s">
        <v>956</v>
      </c>
      <c r="C273" s="3"/>
    </row>
    <row r="274" spans="1:5" x14ac:dyDescent="0.2">
      <c r="B274" s="2" t="s">
        <v>957</v>
      </c>
      <c r="C274" s="3"/>
    </row>
    <row r="275" spans="1:5" x14ac:dyDescent="0.2">
      <c r="B275" s="2"/>
      <c r="C275" s="3"/>
    </row>
    <row r="276" spans="1:5" x14ac:dyDescent="0.2">
      <c r="B276" s="2"/>
      <c r="C276" s="3"/>
    </row>
    <row r="277" spans="1:5" x14ac:dyDescent="0.2">
      <c r="A277" s="7" t="s">
        <v>2</v>
      </c>
    </row>
    <row r="278" spans="1:5" x14ac:dyDescent="0.2">
      <c r="C278" t="s">
        <v>219</v>
      </c>
      <c r="D278" t="s">
        <v>208</v>
      </c>
      <c r="E278" t="s">
        <v>220</v>
      </c>
    </row>
    <row r="279" spans="1:5" x14ac:dyDescent="0.2">
      <c r="B279" t="s">
        <v>209</v>
      </c>
      <c r="C279" t="s">
        <v>218</v>
      </c>
      <c r="E279" s="3">
        <v>12.08</v>
      </c>
    </row>
    <row r="280" spans="1:5" x14ac:dyDescent="0.2">
      <c r="B280" t="s">
        <v>210</v>
      </c>
    </row>
    <row r="281" spans="1:5" x14ac:dyDescent="0.2">
      <c r="B281" t="s">
        <v>211</v>
      </c>
    </row>
    <row r="282" spans="1:5" x14ac:dyDescent="0.2">
      <c r="B282" t="s">
        <v>212</v>
      </c>
      <c r="C282" s="50">
        <v>5138</v>
      </c>
      <c r="E282" t="s">
        <v>217</v>
      </c>
    </row>
    <row r="283" spans="1:5" x14ac:dyDescent="0.2">
      <c r="B283" t="s">
        <v>336</v>
      </c>
      <c r="C283" s="50">
        <v>4846</v>
      </c>
      <c r="E283" t="s">
        <v>216</v>
      </c>
    </row>
    <row r="285" spans="1:5" x14ac:dyDescent="0.2">
      <c r="B285" s="7" t="s">
        <v>272</v>
      </c>
      <c r="C285" s="7" t="s">
        <v>273</v>
      </c>
      <c r="D285" s="7" t="s">
        <v>274</v>
      </c>
      <c r="E285" s="7" t="s">
        <v>288</v>
      </c>
    </row>
    <row r="286" spans="1:5" x14ac:dyDescent="0.2">
      <c r="A286">
        <v>1</v>
      </c>
      <c r="B286" t="s">
        <v>271</v>
      </c>
      <c r="C286">
        <v>7.162E-3</v>
      </c>
      <c r="D286" t="s">
        <v>275</v>
      </c>
    </row>
    <row r="287" spans="1:5" x14ac:dyDescent="0.2">
      <c r="A287">
        <v>2</v>
      </c>
      <c r="B287" t="s">
        <v>276</v>
      </c>
      <c r="C287">
        <v>3.2650000000000001E-3</v>
      </c>
      <c r="D287" t="s">
        <v>211</v>
      </c>
    </row>
    <row r="288" spans="1:5" x14ac:dyDescent="0.2">
      <c r="A288">
        <v>3</v>
      </c>
      <c r="B288" t="s">
        <v>287</v>
      </c>
      <c r="C288">
        <v>1.7009E-2</v>
      </c>
      <c r="D288" t="s">
        <v>210</v>
      </c>
      <c r="E288" s="45">
        <f>(C286+C287+C288)/3</f>
        <v>9.1453333333333334E-3</v>
      </c>
    </row>
    <row r="289" spans="1:12" x14ac:dyDescent="0.2">
      <c r="A289">
        <v>4</v>
      </c>
      <c r="B289" t="s">
        <v>282</v>
      </c>
      <c r="C289">
        <v>9.0019999999999996E-3</v>
      </c>
      <c r="D289" t="s">
        <v>403</v>
      </c>
    </row>
    <row r="290" spans="1:12" x14ac:dyDescent="0.2">
      <c r="A290">
        <v>5</v>
      </c>
      <c r="B290" t="s">
        <v>280</v>
      </c>
      <c r="C290" s="45">
        <v>1.0064E-2</v>
      </c>
      <c r="D290" t="s">
        <v>281</v>
      </c>
    </row>
    <row r="292" spans="1:12" x14ac:dyDescent="0.2">
      <c r="G292" s="87"/>
      <c r="H292" s="87"/>
      <c r="I292" s="87"/>
      <c r="J292" s="87"/>
      <c r="K292" s="87"/>
      <c r="L292" s="87"/>
    </row>
    <row r="293" spans="1:12" x14ac:dyDescent="0.2">
      <c r="B293" s="7"/>
      <c r="E293" s="7"/>
      <c r="F293" s="7"/>
      <c r="G293" s="7"/>
      <c r="H293" s="7"/>
      <c r="I293" s="7"/>
      <c r="J293" s="7"/>
      <c r="K293" s="7"/>
    </row>
    <row r="294" spans="1:12" x14ac:dyDescent="0.2">
      <c r="C294" s="87"/>
      <c r="D294" s="87"/>
    </row>
    <row r="295" spans="1:12" x14ac:dyDescent="0.2">
      <c r="C295" s="7"/>
      <c r="D295" s="7"/>
    </row>
  </sheetData>
  <mergeCells count="7">
    <mergeCell ref="C294:D294"/>
    <mergeCell ref="G292:I292"/>
    <mergeCell ref="J292:L292"/>
    <mergeCell ref="D215:F215"/>
    <mergeCell ref="B217:B219"/>
    <mergeCell ref="B220:B222"/>
    <mergeCell ref="B223:B225"/>
  </mergeCells>
  <phoneticPr fontId="2" type="noConversion"/>
  <pageMargins left="0.78740157499999996" right="0.78740157499999996" top="0.984251969" bottom="0.984251969"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K5" sqref="K5"/>
    </sheetView>
  </sheetViews>
  <sheetFormatPr baseColWidth="10" defaultRowHeight="12.75" x14ac:dyDescent="0.2"/>
  <cols>
    <col min="1" max="7" width="9.140625" customWidth="1"/>
    <col min="8" max="8" width="14.28515625" customWidth="1"/>
    <col min="9" max="256" width="9.140625" customWidth="1"/>
  </cols>
  <sheetData>
    <row r="1" spans="1:13" x14ac:dyDescent="0.2">
      <c r="A1" s="7" t="s">
        <v>976</v>
      </c>
      <c r="B1" t="s">
        <v>924</v>
      </c>
      <c r="C1" s="3"/>
    </row>
    <row r="2" spans="1:13" x14ac:dyDescent="0.2">
      <c r="A2" s="7" t="s">
        <v>977</v>
      </c>
      <c r="B2" s="44" t="s">
        <v>434</v>
      </c>
      <c r="C2" s="3"/>
    </row>
    <row r="3" spans="1:13" x14ac:dyDescent="0.2">
      <c r="A3" s="7"/>
      <c r="C3" s="52" t="s">
        <v>435</v>
      </c>
      <c r="D3" s="47" t="s">
        <v>277</v>
      </c>
      <c r="E3" s="7" t="s">
        <v>67</v>
      </c>
      <c r="F3" s="47" t="s">
        <v>278</v>
      </c>
      <c r="G3" s="77" t="s">
        <v>903</v>
      </c>
      <c r="H3" t="s">
        <v>277</v>
      </c>
      <c r="I3" s="77" t="s">
        <v>904</v>
      </c>
      <c r="J3" s="47" t="s">
        <v>278</v>
      </c>
      <c r="K3" s="77" t="s">
        <v>902</v>
      </c>
      <c r="L3" s="77" t="s">
        <v>905</v>
      </c>
      <c r="M3" t="s">
        <v>456</v>
      </c>
    </row>
    <row r="4" spans="1:13" x14ac:dyDescent="0.2">
      <c r="A4" s="7"/>
      <c r="B4" t="s">
        <v>842</v>
      </c>
      <c r="C4" s="3">
        <v>13.6</v>
      </c>
      <c r="E4">
        <v>207</v>
      </c>
      <c r="G4">
        <f t="shared" ref="G4:G9" si="0">C4*1000000</f>
        <v>13600000</v>
      </c>
      <c r="I4">
        <f t="shared" ref="I4:I9" si="1">E4*1000000</f>
        <v>207000000</v>
      </c>
      <c r="K4" s="45">
        <f>I4/G4</f>
        <v>15.220588235294118</v>
      </c>
      <c r="L4" s="45"/>
      <c r="M4" t="s">
        <v>457</v>
      </c>
    </row>
    <row r="5" spans="1:13" x14ac:dyDescent="0.2">
      <c r="A5" s="7"/>
      <c r="B5" t="s">
        <v>436</v>
      </c>
      <c r="C5" s="3">
        <v>25.9</v>
      </c>
      <c r="E5">
        <v>93.7</v>
      </c>
      <c r="G5">
        <f t="shared" si="0"/>
        <v>25900000</v>
      </c>
      <c r="I5">
        <f t="shared" si="1"/>
        <v>93700000</v>
      </c>
      <c r="K5" s="45">
        <f>I5/G5</f>
        <v>3.6177606177606179</v>
      </c>
      <c r="L5" s="45"/>
    </row>
    <row r="6" spans="1:13" x14ac:dyDescent="0.2">
      <c r="A6" s="7"/>
      <c r="B6" t="s">
        <v>844</v>
      </c>
      <c r="C6" s="3">
        <v>232.9</v>
      </c>
      <c r="E6">
        <v>241</v>
      </c>
      <c r="G6">
        <f t="shared" si="0"/>
        <v>232900000</v>
      </c>
      <c r="I6">
        <f t="shared" si="1"/>
        <v>241000000</v>
      </c>
      <c r="K6" s="45">
        <f>I6/G6</f>
        <v>1.0347788750536711</v>
      </c>
      <c r="L6" s="45"/>
      <c r="M6" t="s">
        <v>458</v>
      </c>
    </row>
    <row r="7" spans="1:13" x14ac:dyDescent="0.2">
      <c r="A7" s="7"/>
      <c r="B7" t="s">
        <v>455</v>
      </c>
      <c r="C7" s="3">
        <v>25.5</v>
      </c>
      <c r="E7">
        <v>38.4</v>
      </c>
      <c r="G7">
        <f t="shared" si="0"/>
        <v>25500000</v>
      </c>
      <c r="I7">
        <f t="shared" si="1"/>
        <v>38400000</v>
      </c>
      <c r="K7" s="45"/>
      <c r="L7" s="45"/>
      <c r="M7" t="s">
        <v>459</v>
      </c>
    </row>
    <row r="8" spans="1:13" x14ac:dyDescent="0.2">
      <c r="B8" t="s">
        <v>454</v>
      </c>
      <c r="C8" s="3">
        <v>4.5999999999999996</v>
      </c>
      <c r="D8">
        <v>15050</v>
      </c>
      <c r="E8">
        <v>10.4</v>
      </c>
      <c r="F8">
        <v>48.8</v>
      </c>
      <c r="G8">
        <f t="shared" si="0"/>
        <v>4600000</v>
      </c>
      <c r="H8">
        <f>G8+G7</f>
        <v>30100000</v>
      </c>
      <c r="I8">
        <f t="shared" si="1"/>
        <v>10400000</v>
      </c>
      <c r="J8">
        <f>I8+I7</f>
        <v>48800000</v>
      </c>
      <c r="K8" s="45"/>
      <c r="L8" s="45">
        <f>J8/H8</f>
        <v>1.6212624584717608</v>
      </c>
    </row>
    <row r="9" spans="1:13" x14ac:dyDescent="0.2">
      <c r="B9" t="s">
        <v>437</v>
      </c>
      <c r="C9" s="3">
        <v>2.1</v>
      </c>
      <c r="E9">
        <v>7.7</v>
      </c>
      <c r="G9">
        <f t="shared" si="0"/>
        <v>2100000</v>
      </c>
      <c r="I9">
        <f t="shared" si="1"/>
        <v>7700000</v>
      </c>
      <c r="K9" s="45">
        <f>I9/G9</f>
        <v>3.6666666666666665</v>
      </c>
      <c r="L9" s="45"/>
    </row>
    <row r="10" spans="1:13" x14ac:dyDescent="0.2">
      <c r="C10" s="3"/>
      <c r="D10" s="8"/>
    </row>
    <row r="11" spans="1:13" x14ac:dyDescent="0.2">
      <c r="C11" s="3"/>
    </row>
  </sheetData>
  <phoneticPr fontId="2" type="noConversion"/>
  <pageMargins left="0.78740157499999996" right="0.78740157499999996" top="0.984251969" bottom="0.984251969"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15"/>
  <sheetViews>
    <sheetView topLeftCell="A159" workbookViewId="0">
      <selection activeCell="I201" sqref="I201"/>
    </sheetView>
  </sheetViews>
  <sheetFormatPr baseColWidth="10" defaultRowHeight="12.75" x14ac:dyDescent="0.2"/>
  <cols>
    <col min="1" max="1" width="9.140625" customWidth="1"/>
    <col min="2" max="2" width="12.85546875" bestFit="1" customWidth="1"/>
    <col min="3" max="5" width="9.140625" customWidth="1"/>
    <col min="6" max="6" width="10.28515625" bestFit="1" customWidth="1"/>
    <col min="7" max="17" width="9.140625" customWidth="1"/>
    <col min="18" max="18" width="15" customWidth="1"/>
    <col min="19" max="20" width="9.140625" customWidth="1"/>
    <col min="21" max="21" width="14.5703125" customWidth="1"/>
    <col min="22" max="22" width="18.7109375" customWidth="1"/>
    <col min="23" max="24" width="9.140625" customWidth="1"/>
    <col min="25" max="25" width="18" customWidth="1"/>
    <col min="26" max="256" width="9.140625" customWidth="1"/>
  </cols>
  <sheetData>
    <row r="1" spans="1:8" x14ac:dyDescent="0.2">
      <c r="A1" s="7" t="s">
        <v>976</v>
      </c>
      <c r="B1" s="44" t="s">
        <v>986</v>
      </c>
    </row>
    <row r="2" spans="1:8" x14ac:dyDescent="0.2">
      <c r="A2" s="7" t="s">
        <v>977</v>
      </c>
      <c r="B2" t="s">
        <v>404</v>
      </c>
    </row>
    <row r="6" spans="1:8" x14ac:dyDescent="0.2">
      <c r="A6" s="7" t="s">
        <v>976</v>
      </c>
      <c r="B6" t="s">
        <v>344</v>
      </c>
    </row>
    <row r="7" spans="1:8" x14ac:dyDescent="0.2">
      <c r="A7" s="7" t="s">
        <v>977</v>
      </c>
      <c r="B7" t="s">
        <v>345</v>
      </c>
    </row>
    <row r="9" spans="1:8" x14ac:dyDescent="0.2">
      <c r="B9" s="7" t="s">
        <v>346</v>
      </c>
      <c r="C9" s="7" t="s">
        <v>347</v>
      </c>
      <c r="D9" s="7"/>
      <c r="E9" s="7" t="s">
        <v>352</v>
      </c>
      <c r="F9" s="7" t="s">
        <v>351</v>
      </c>
      <c r="G9" s="7" t="s">
        <v>356</v>
      </c>
      <c r="H9" s="7"/>
    </row>
    <row r="10" spans="1:8" x14ac:dyDescent="0.2">
      <c r="B10">
        <v>30</v>
      </c>
      <c r="C10">
        <v>102</v>
      </c>
      <c r="E10" t="s">
        <v>348</v>
      </c>
      <c r="F10" t="s">
        <v>353</v>
      </c>
      <c r="G10" t="s">
        <v>353</v>
      </c>
    </row>
    <row r="11" spans="1:8" x14ac:dyDescent="0.2">
      <c r="B11">
        <v>50</v>
      </c>
      <c r="C11">
        <v>53</v>
      </c>
      <c r="E11" t="s">
        <v>349</v>
      </c>
      <c r="F11" t="s">
        <v>354</v>
      </c>
      <c r="G11" t="s">
        <v>357</v>
      </c>
    </row>
    <row r="12" spans="1:8" x14ac:dyDescent="0.2">
      <c r="B12">
        <v>70</v>
      </c>
      <c r="C12">
        <v>16</v>
      </c>
      <c r="E12" t="s">
        <v>350</v>
      </c>
      <c r="F12" t="s">
        <v>355</v>
      </c>
      <c r="G12" t="s">
        <v>358</v>
      </c>
    </row>
    <row r="13" spans="1:8" x14ac:dyDescent="0.2">
      <c r="B13" t="s">
        <v>359</v>
      </c>
    </row>
    <row r="16" spans="1:8" x14ac:dyDescent="0.2">
      <c r="A16" s="7" t="s">
        <v>976</v>
      </c>
      <c r="B16" t="s">
        <v>360</v>
      </c>
    </row>
    <row r="17" spans="1:9" x14ac:dyDescent="0.2">
      <c r="A17" s="7" t="s">
        <v>977</v>
      </c>
      <c r="B17" s="7" t="s">
        <v>363</v>
      </c>
    </row>
    <row r="19" spans="1:9" x14ac:dyDescent="0.2">
      <c r="B19" t="s">
        <v>364</v>
      </c>
    </row>
    <row r="20" spans="1:9" x14ac:dyDescent="0.2">
      <c r="B20" t="s">
        <v>365</v>
      </c>
    </row>
    <row r="21" spans="1:9" x14ac:dyDescent="0.2">
      <c r="B21" t="s">
        <v>366</v>
      </c>
    </row>
    <row r="22" spans="1:9" x14ac:dyDescent="0.2">
      <c r="B22" t="s">
        <v>367</v>
      </c>
    </row>
    <row r="23" spans="1:9" x14ac:dyDescent="0.2">
      <c r="B23" t="s">
        <v>368</v>
      </c>
    </row>
    <row r="24" spans="1:9" x14ac:dyDescent="0.2">
      <c r="B24" t="s">
        <v>369</v>
      </c>
    </row>
    <row r="25" spans="1:9" x14ac:dyDescent="0.2">
      <c r="B25" t="s">
        <v>370</v>
      </c>
    </row>
    <row r="26" spans="1:9" x14ac:dyDescent="0.2">
      <c r="B26" t="s">
        <v>371</v>
      </c>
    </row>
    <row r="27" spans="1:9" x14ac:dyDescent="0.2">
      <c r="B27" t="s">
        <v>372</v>
      </c>
    </row>
    <row r="28" spans="1:9" x14ac:dyDescent="0.2">
      <c r="B28" t="s">
        <v>373</v>
      </c>
    </row>
    <row r="29" spans="1:9" x14ac:dyDescent="0.2">
      <c r="B29" s="7" t="s">
        <v>381</v>
      </c>
    </row>
    <row r="31" spans="1:9" x14ac:dyDescent="0.2">
      <c r="B31" t="s">
        <v>376</v>
      </c>
      <c r="C31">
        <v>1</v>
      </c>
      <c r="E31">
        <v>2</v>
      </c>
      <c r="F31">
        <v>3</v>
      </c>
      <c r="G31">
        <v>4</v>
      </c>
      <c r="H31">
        <v>5</v>
      </c>
      <c r="I31">
        <v>6</v>
      </c>
    </row>
    <row r="32" spans="1:9" x14ac:dyDescent="0.2">
      <c r="B32" t="s">
        <v>382</v>
      </c>
    </row>
    <row r="33" spans="2:9" x14ac:dyDescent="0.2">
      <c r="B33" t="s">
        <v>383</v>
      </c>
      <c r="C33">
        <v>709.2</v>
      </c>
      <c r="E33">
        <v>225.9</v>
      </c>
      <c r="F33">
        <v>271.3</v>
      </c>
      <c r="G33">
        <v>237.1</v>
      </c>
      <c r="H33">
        <v>242.7</v>
      </c>
      <c r="I33">
        <v>154.4</v>
      </c>
    </row>
    <row r="34" spans="2:9" x14ac:dyDescent="0.2">
      <c r="B34" s="53">
        <v>0.15</v>
      </c>
      <c r="C34">
        <v>517.6</v>
      </c>
      <c r="E34">
        <v>164.4</v>
      </c>
      <c r="F34">
        <v>213.4</v>
      </c>
      <c r="G34">
        <v>225.1</v>
      </c>
      <c r="H34">
        <v>186.9</v>
      </c>
      <c r="I34">
        <v>127.3</v>
      </c>
    </row>
    <row r="35" spans="2:9" x14ac:dyDescent="0.2">
      <c r="B35" s="53">
        <v>0.3</v>
      </c>
      <c r="C35">
        <v>350.5</v>
      </c>
      <c r="E35">
        <v>111.4</v>
      </c>
      <c r="F35">
        <v>149.1</v>
      </c>
      <c r="G35">
        <v>146</v>
      </c>
      <c r="H35">
        <v>124</v>
      </c>
      <c r="I35">
        <v>112.6</v>
      </c>
    </row>
    <row r="36" spans="2:9" x14ac:dyDescent="0.2">
      <c r="B36" s="53">
        <v>0.45</v>
      </c>
      <c r="C36">
        <v>217.9</v>
      </c>
      <c r="E36">
        <v>63.7</v>
      </c>
      <c r="F36">
        <v>59.3</v>
      </c>
      <c r="G36">
        <v>80.8</v>
      </c>
      <c r="H36">
        <v>63.8</v>
      </c>
      <c r="I36">
        <v>70.3</v>
      </c>
    </row>
    <row r="37" spans="2:9" x14ac:dyDescent="0.2">
      <c r="B37" s="53">
        <v>0.55000000000000004</v>
      </c>
      <c r="C37">
        <v>178.9</v>
      </c>
      <c r="E37">
        <v>48.8</v>
      </c>
      <c r="F37">
        <v>48</v>
      </c>
      <c r="G37">
        <v>57.5</v>
      </c>
      <c r="H37">
        <v>44.1</v>
      </c>
      <c r="I37">
        <v>41.4</v>
      </c>
    </row>
    <row r="38" spans="2:9" x14ac:dyDescent="0.2">
      <c r="B38" s="53">
        <v>0.6</v>
      </c>
      <c r="C38">
        <v>84.4</v>
      </c>
      <c r="E38">
        <v>12.6</v>
      </c>
      <c r="F38">
        <v>27.2</v>
      </c>
      <c r="G38">
        <v>32.799999999999997</v>
      </c>
      <c r="H38">
        <v>19.899999999999999</v>
      </c>
      <c r="I38">
        <v>19.7</v>
      </c>
    </row>
    <row r="40" spans="2:9" x14ac:dyDescent="0.2">
      <c r="B40" s="7" t="s">
        <v>384</v>
      </c>
    </row>
    <row r="42" spans="2:9" x14ac:dyDescent="0.2">
      <c r="B42" t="s">
        <v>376</v>
      </c>
      <c r="C42">
        <v>1</v>
      </c>
      <c r="E42">
        <v>2</v>
      </c>
      <c r="F42">
        <v>3</v>
      </c>
      <c r="G42">
        <v>4</v>
      </c>
      <c r="H42">
        <v>5</v>
      </c>
      <c r="I42">
        <v>6</v>
      </c>
    </row>
    <row r="43" spans="2:9" x14ac:dyDescent="0.2">
      <c r="B43" t="s">
        <v>382</v>
      </c>
    </row>
    <row r="44" spans="2:9" x14ac:dyDescent="0.2">
      <c r="B44" t="s">
        <v>383</v>
      </c>
      <c r="C44">
        <v>383.8</v>
      </c>
      <c r="E44">
        <v>301.2</v>
      </c>
      <c r="F44">
        <v>225.9</v>
      </c>
      <c r="G44">
        <v>380</v>
      </c>
      <c r="H44">
        <v>245.4</v>
      </c>
      <c r="I44">
        <v>234.2</v>
      </c>
    </row>
    <row r="45" spans="2:9" x14ac:dyDescent="0.2">
      <c r="B45" s="53">
        <v>0.15</v>
      </c>
      <c r="C45">
        <v>364.5</v>
      </c>
      <c r="E45">
        <v>270.39999999999998</v>
      </c>
      <c r="F45">
        <v>222.9</v>
      </c>
      <c r="G45">
        <v>341.9</v>
      </c>
      <c r="H45" t="s">
        <v>385</v>
      </c>
      <c r="I45">
        <v>227.9</v>
      </c>
    </row>
    <row r="46" spans="2:9" x14ac:dyDescent="0.2">
      <c r="B46" s="53">
        <v>0.3</v>
      </c>
      <c r="C46">
        <v>295.5</v>
      </c>
      <c r="E46">
        <v>235.6</v>
      </c>
      <c r="F46">
        <v>177.7</v>
      </c>
      <c r="G46">
        <v>245.9</v>
      </c>
      <c r="H46">
        <v>192.1</v>
      </c>
      <c r="I46">
        <v>191.1</v>
      </c>
    </row>
    <row r="47" spans="2:9" x14ac:dyDescent="0.2">
      <c r="B47" s="53">
        <v>0.45</v>
      </c>
      <c r="C47">
        <v>256.60000000000002</v>
      </c>
      <c r="E47">
        <v>193.9</v>
      </c>
      <c r="F47">
        <v>138.9</v>
      </c>
      <c r="G47">
        <v>189.5</v>
      </c>
      <c r="H47">
        <v>153</v>
      </c>
      <c r="I47">
        <v>157.19999999999999</v>
      </c>
    </row>
    <row r="48" spans="2:9" x14ac:dyDescent="0.2">
      <c r="B48" s="53">
        <v>0.55000000000000004</v>
      </c>
      <c r="C48">
        <v>249.6</v>
      </c>
      <c r="E48">
        <v>174.8</v>
      </c>
      <c r="F48">
        <v>104.6</v>
      </c>
      <c r="G48">
        <v>141.6</v>
      </c>
      <c r="H48">
        <v>152.30000000000001</v>
      </c>
      <c r="I48">
        <v>140.80000000000001</v>
      </c>
    </row>
    <row r="49" spans="1:10" x14ac:dyDescent="0.2">
      <c r="B49" s="53">
        <v>0.6</v>
      </c>
      <c r="C49">
        <v>176.9</v>
      </c>
      <c r="E49">
        <v>125.5</v>
      </c>
      <c r="F49">
        <v>91.4</v>
      </c>
      <c r="G49">
        <v>123.7</v>
      </c>
      <c r="H49">
        <v>101</v>
      </c>
      <c r="I49">
        <v>136.6</v>
      </c>
    </row>
    <row r="51" spans="1:10" x14ac:dyDescent="0.2">
      <c r="B51" t="s">
        <v>386</v>
      </c>
    </row>
    <row r="52" spans="1:10" x14ac:dyDescent="0.2">
      <c r="B52" t="s">
        <v>387</v>
      </c>
      <c r="C52" t="s">
        <v>72</v>
      </c>
      <c r="E52" t="s">
        <v>72</v>
      </c>
      <c r="F52" t="s">
        <v>73</v>
      </c>
      <c r="G52" t="s">
        <v>73</v>
      </c>
      <c r="H52" t="s">
        <v>74</v>
      </c>
      <c r="I52" t="s">
        <v>74</v>
      </c>
    </row>
    <row r="53" spans="1:10" x14ac:dyDescent="0.2">
      <c r="C53" t="s">
        <v>388</v>
      </c>
      <c r="F53" t="s">
        <v>389</v>
      </c>
      <c r="H53" t="s">
        <v>390</v>
      </c>
    </row>
    <row r="55" spans="1:10" x14ac:dyDescent="0.2">
      <c r="B55" t="s">
        <v>391</v>
      </c>
    </row>
    <row r="57" spans="1:10" x14ac:dyDescent="0.2">
      <c r="A57" s="7" t="s">
        <v>976</v>
      </c>
      <c r="B57" t="s">
        <v>847</v>
      </c>
    </row>
    <row r="58" spans="1:10" x14ac:dyDescent="0.2">
      <c r="A58" s="7" t="s">
        <v>977</v>
      </c>
      <c r="B58" t="s">
        <v>849</v>
      </c>
    </row>
    <row r="59" spans="1:10" x14ac:dyDescent="0.2">
      <c r="B59" t="s">
        <v>850</v>
      </c>
    </row>
    <row r="61" spans="1:10" x14ac:dyDescent="0.2">
      <c r="B61" t="s">
        <v>851</v>
      </c>
    </row>
    <row r="63" spans="1:10" x14ac:dyDescent="0.2">
      <c r="B63" t="s">
        <v>405</v>
      </c>
    </row>
    <row r="64" spans="1:10" x14ac:dyDescent="0.2">
      <c r="B64" s="7" t="s">
        <v>406</v>
      </c>
      <c r="C64" s="7" t="s">
        <v>407</v>
      </c>
      <c r="D64" s="7"/>
      <c r="E64" s="7" t="s">
        <v>408</v>
      </c>
      <c r="F64" s="7" t="s">
        <v>409</v>
      </c>
      <c r="G64" s="7" t="s">
        <v>410</v>
      </c>
      <c r="H64" s="7" t="s">
        <v>413</v>
      </c>
      <c r="I64" s="7" t="s">
        <v>411</v>
      </c>
      <c r="J64" s="7" t="s">
        <v>412</v>
      </c>
    </row>
    <row r="65" spans="1:8" x14ac:dyDescent="0.2">
      <c r="H65" t="s">
        <v>414</v>
      </c>
    </row>
    <row r="66" spans="1:8" x14ac:dyDescent="0.2">
      <c r="H66">
        <v>124</v>
      </c>
    </row>
    <row r="67" spans="1:8" x14ac:dyDescent="0.2">
      <c r="H67" t="s">
        <v>415</v>
      </c>
    </row>
    <row r="68" spans="1:8" x14ac:dyDescent="0.2">
      <c r="H68">
        <v>31.1</v>
      </c>
    </row>
    <row r="69" spans="1:8" x14ac:dyDescent="0.2">
      <c r="H69" t="s">
        <v>416</v>
      </c>
    </row>
    <row r="70" spans="1:8" x14ac:dyDescent="0.2">
      <c r="H70" t="s">
        <v>417</v>
      </c>
    </row>
    <row r="71" spans="1:8" x14ac:dyDescent="0.2">
      <c r="H71" t="s">
        <v>418</v>
      </c>
    </row>
    <row r="72" spans="1:8" x14ac:dyDescent="0.2">
      <c r="H72" t="s">
        <v>419</v>
      </c>
    </row>
    <row r="73" spans="1:8" x14ac:dyDescent="0.2">
      <c r="H73">
        <v>133</v>
      </c>
    </row>
    <row r="74" spans="1:8" x14ac:dyDescent="0.2">
      <c r="H74" t="s">
        <v>420</v>
      </c>
    </row>
    <row r="76" spans="1:8" x14ac:dyDescent="0.2">
      <c r="A76" s="7" t="s">
        <v>976</v>
      </c>
      <c r="B76" t="s">
        <v>46</v>
      </c>
    </row>
    <row r="77" spans="1:8" x14ac:dyDescent="0.2">
      <c r="A77" s="7" t="s">
        <v>977</v>
      </c>
      <c r="B77" t="s">
        <v>427</v>
      </c>
    </row>
    <row r="78" spans="1:8" x14ac:dyDescent="0.2">
      <c r="B78" t="s">
        <v>428</v>
      </c>
    </row>
    <row r="79" spans="1:8" x14ac:dyDescent="0.2">
      <c r="B79" t="s">
        <v>429</v>
      </c>
    </row>
    <row r="80" spans="1:8" x14ac:dyDescent="0.2">
      <c r="B80" t="s">
        <v>430</v>
      </c>
    </row>
    <row r="81" spans="2:2" x14ac:dyDescent="0.2">
      <c r="B81" t="s">
        <v>431</v>
      </c>
    </row>
    <row r="82" spans="2:2" x14ac:dyDescent="0.2">
      <c r="B82" t="s">
        <v>432</v>
      </c>
    </row>
    <row r="83" spans="2:2" x14ac:dyDescent="0.2">
      <c r="B83" t="s">
        <v>433</v>
      </c>
    </row>
    <row r="116" spans="12:31" ht="15" x14ac:dyDescent="0.2">
      <c r="L116" s="61" t="s">
        <v>678</v>
      </c>
      <c r="M116" s="62"/>
      <c r="N116" s="62"/>
      <c r="O116" s="62"/>
      <c r="P116" s="62"/>
      <c r="Q116" s="62"/>
      <c r="R116" s="62"/>
      <c r="S116" s="62"/>
      <c r="T116" s="62"/>
      <c r="U116" s="62"/>
      <c r="V116" s="62"/>
      <c r="W116" s="62"/>
      <c r="X116" s="62"/>
      <c r="Y116" s="62"/>
      <c r="Z116" s="62"/>
      <c r="AA116" s="62"/>
      <c r="AB116" s="62"/>
      <c r="AC116" s="62"/>
      <c r="AD116" s="62"/>
      <c r="AE116" s="62"/>
    </row>
    <row r="117" spans="12:31" ht="15" x14ac:dyDescent="0.2">
      <c r="L117" s="62"/>
      <c r="M117" s="62"/>
      <c r="N117" s="62"/>
      <c r="O117" s="62"/>
      <c r="P117" s="62"/>
      <c r="Q117" s="62"/>
      <c r="R117" s="62"/>
      <c r="S117" s="62"/>
      <c r="T117" s="62"/>
      <c r="U117" s="62"/>
      <c r="V117" s="62"/>
      <c r="W117" s="63" t="s">
        <v>756</v>
      </c>
      <c r="X117" s="62"/>
      <c r="Y117" s="62"/>
      <c r="Z117" s="62"/>
      <c r="AA117" s="62"/>
      <c r="AB117" s="62"/>
      <c r="AC117" s="62"/>
      <c r="AD117" s="62"/>
      <c r="AE117" s="62"/>
    </row>
    <row r="118" spans="12:31" ht="15" x14ac:dyDescent="0.2">
      <c r="L118" s="63" t="s">
        <v>757</v>
      </c>
      <c r="M118" s="63" t="s">
        <v>758</v>
      </c>
      <c r="N118" s="63" t="s">
        <v>759</v>
      </c>
      <c r="O118" s="63" t="s">
        <v>760</v>
      </c>
      <c r="P118" s="63" t="s">
        <v>761</v>
      </c>
      <c r="Q118" s="63" t="s">
        <v>762</v>
      </c>
      <c r="R118" s="63" t="s">
        <v>178</v>
      </c>
      <c r="S118" s="63" t="s">
        <v>763</v>
      </c>
      <c r="T118" s="63" t="s">
        <v>764</v>
      </c>
      <c r="U118" s="63" t="s">
        <v>765</v>
      </c>
      <c r="V118" s="63" t="s">
        <v>766</v>
      </c>
      <c r="W118" s="63" t="s">
        <v>767</v>
      </c>
      <c r="X118" s="63" t="s">
        <v>768</v>
      </c>
      <c r="Y118" s="63" t="s">
        <v>769</v>
      </c>
      <c r="Z118" s="63" t="s">
        <v>770</v>
      </c>
      <c r="AA118" s="62"/>
      <c r="AB118" s="62"/>
      <c r="AC118" s="62"/>
      <c r="AD118" s="62"/>
      <c r="AE118" s="62"/>
    </row>
    <row r="119" spans="12:31" ht="15" x14ac:dyDescent="0.2">
      <c r="L119" s="63" t="s">
        <v>771</v>
      </c>
      <c r="M119" s="63" t="s">
        <v>771</v>
      </c>
      <c r="N119" s="63" t="s">
        <v>771</v>
      </c>
      <c r="O119" s="63" t="s">
        <v>772</v>
      </c>
      <c r="P119" s="63" t="s">
        <v>754</v>
      </c>
      <c r="Q119" s="63" t="s">
        <v>754</v>
      </c>
      <c r="R119" s="63" t="s">
        <v>773</v>
      </c>
      <c r="S119" s="63" t="s">
        <v>773</v>
      </c>
      <c r="T119" s="63" t="s">
        <v>773</v>
      </c>
      <c r="U119" s="63" t="s">
        <v>774</v>
      </c>
      <c r="V119" s="63" t="s">
        <v>775</v>
      </c>
      <c r="W119" s="63" t="s">
        <v>754</v>
      </c>
      <c r="X119" s="63" t="s">
        <v>754</v>
      </c>
      <c r="Y119" s="63" t="s">
        <v>776</v>
      </c>
      <c r="Z119" s="63" t="s">
        <v>774</v>
      </c>
      <c r="AA119" s="62"/>
      <c r="AB119" s="62"/>
      <c r="AC119" s="62"/>
      <c r="AD119" s="62"/>
      <c r="AE119" s="62"/>
    </row>
    <row r="120" spans="12:31" ht="15" x14ac:dyDescent="0.2">
      <c r="L120" s="64">
        <v>1</v>
      </c>
      <c r="M120" s="64">
        <v>12</v>
      </c>
      <c r="N120" s="63" t="s">
        <v>122</v>
      </c>
      <c r="O120" s="65">
        <v>10.3</v>
      </c>
      <c r="P120" s="65">
        <v>7.62</v>
      </c>
      <c r="Q120" s="65">
        <v>0.44</v>
      </c>
      <c r="R120" s="65">
        <v>13.962150000000001</v>
      </c>
      <c r="S120" s="66">
        <v>7.52</v>
      </c>
      <c r="T120" s="66">
        <v>7.82</v>
      </c>
      <c r="U120" s="66">
        <v>44.54</v>
      </c>
      <c r="V120" s="66">
        <v>73.267141784701536</v>
      </c>
      <c r="W120" s="66">
        <v>7.18</v>
      </c>
      <c r="X120" s="66">
        <v>1.7</v>
      </c>
      <c r="Y120" s="66">
        <v>21.729558626839641</v>
      </c>
      <c r="Z120" s="66">
        <v>39.406460223757172</v>
      </c>
      <c r="AA120" s="62"/>
      <c r="AB120" s="62"/>
      <c r="AC120" s="62"/>
      <c r="AD120" s="62"/>
      <c r="AE120" s="62"/>
    </row>
    <row r="121" spans="12:31" ht="15" x14ac:dyDescent="0.2">
      <c r="L121" s="64">
        <v>1</v>
      </c>
      <c r="M121" s="64">
        <v>10</v>
      </c>
      <c r="N121" s="63" t="s">
        <v>122</v>
      </c>
      <c r="O121" s="65">
        <v>9.9</v>
      </c>
      <c r="P121" s="65">
        <v>6.3</v>
      </c>
      <c r="Q121" s="65">
        <v>0.5</v>
      </c>
      <c r="R121" s="65">
        <v>13.74615</v>
      </c>
      <c r="S121" s="66">
        <v>6.96</v>
      </c>
      <c r="T121" s="66">
        <v>8.44</v>
      </c>
      <c r="U121" s="66">
        <v>48.16</v>
      </c>
      <c r="V121" s="66">
        <v>74.799813902897426</v>
      </c>
      <c r="W121" s="66">
        <v>5.8</v>
      </c>
      <c r="X121" s="66">
        <v>1.4</v>
      </c>
      <c r="Y121" s="66">
        <v>11.904541762002921</v>
      </c>
      <c r="Z121" s="66">
        <v>26.242361111195976</v>
      </c>
      <c r="AA121" s="62"/>
      <c r="AB121" s="62"/>
      <c r="AC121" s="62"/>
      <c r="AD121" s="62"/>
      <c r="AE121" s="62"/>
    </row>
    <row r="122" spans="12:31" ht="15" x14ac:dyDescent="0.2">
      <c r="L122" s="64">
        <v>3</v>
      </c>
      <c r="M122" s="64">
        <v>20</v>
      </c>
      <c r="N122" s="63" t="s">
        <v>122</v>
      </c>
      <c r="O122" s="65">
        <v>23.4</v>
      </c>
      <c r="P122" s="65">
        <v>19</v>
      </c>
      <c r="Q122" s="65">
        <v>8.6</v>
      </c>
      <c r="R122" s="65">
        <v>157.57919999999999</v>
      </c>
      <c r="S122" s="66">
        <v>17.670000000000002</v>
      </c>
      <c r="T122" s="66">
        <v>15</v>
      </c>
      <c r="U122" s="66">
        <v>84.81</v>
      </c>
      <c r="V122" s="65">
        <v>226.47741439728816</v>
      </c>
      <c r="W122" s="66">
        <v>10.4</v>
      </c>
      <c r="X122" s="66">
        <v>2.8</v>
      </c>
      <c r="Y122" s="66">
        <v>85.384299534365795</v>
      </c>
      <c r="Z122" s="66">
        <v>94.7407675001987</v>
      </c>
      <c r="AA122" s="62"/>
      <c r="AB122" s="62"/>
      <c r="AC122" s="62"/>
      <c r="AD122" s="62"/>
      <c r="AE122" s="62"/>
    </row>
    <row r="123" spans="12:31" ht="15" x14ac:dyDescent="0.2">
      <c r="L123" s="64">
        <v>2</v>
      </c>
      <c r="M123" s="64">
        <v>5</v>
      </c>
      <c r="N123" s="63" t="s">
        <v>122</v>
      </c>
      <c r="O123" s="65">
        <v>20.9</v>
      </c>
      <c r="P123" s="65">
        <v>13.3</v>
      </c>
      <c r="Q123" s="65">
        <v>3.13</v>
      </c>
      <c r="R123" s="65">
        <v>105.21</v>
      </c>
      <c r="S123" s="66">
        <v>38.76</v>
      </c>
      <c r="T123" s="66">
        <v>23.37</v>
      </c>
      <c r="U123" s="66">
        <v>131.1</v>
      </c>
      <c r="V123" s="65">
        <v>230.74074078454095</v>
      </c>
      <c r="W123" s="66">
        <v>10.17</v>
      </c>
      <c r="X123" s="66">
        <v>3.5</v>
      </c>
      <c r="Y123" s="66">
        <v>130.46248892195018</v>
      </c>
      <c r="Z123" s="66">
        <v>118.26193813639453</v>
      </c>
      <c r="AA123" s="62"/>
      <c r="AB123" s="62"/>
      <c r="AC123" s="62"/>
      <c r="AD123" s="62"/>
      <c r="AE123" s="62"/>
    </row>
    <row r="124" spans="12:31" ht="15" x14ac:dyDescent="0.2">
      <c r="L124" s="64">
        <v>2</v>
      </c>
      <c r="M124" s="64">
        <v>4</v>
      </c>
      <c r="N124" s="63" t="s">
        <v>122</v>
      </c>
      <c r="O124" s="65">
        <v>23.2</v>
      </c>
      <c r="P124" s="65">
        <v>13.95</v>
      </c>
      <c r="Q124" s="65">
        <v>2.52</v>
      </c>
      <c r="R124" s="65">
        <v>126.93375</v>
      </c>
      <c r="S124" s="65">
        <v>45.19</v>
      </c>
      <c r="T124" s="66">
        <v>30.81</v>
      </c>
      <c r="U124" s="66">
        <v>172</v>
      </c>
      <c r="V124" s="65">
        <v>296.81</v>
      </c>
      <c r="W124" s="66">
        <v>11.43</v>
      </c>
      <c r="X124" s="66">
        <v>3.4</v>
      </c>
      <c r="Y124" s="66">
        <v>138.36705019764742</v>
      </c>
      <c r="Z124" s="66">
        <v>127.37554944228197</v>
      </c>
      <c r="AA124" s="62"/>
      <c r="AB124" s="62"/>
      <c r="AC124" s="62"/>
      <c r="AD124" s="62"/>
      <c r="AE124" s="62"/>
    </row>
    <row r="125" spans="12:31" ht="15" x14ac:dyDescent="0.2">
      <c r="L125" s="64">
        <v>2</v>
      </c>
      <c r="M125" s="64">
        <v>6</v>
      </c>
      <c r="N125" s="63" t="s">
        <v>122</v>
      </c>
      <c r="O125" s="65">
        <v>24</v>
      </c>
      <c r="P125" s="65">
        <v>14.4</v>
      </c>
      <c r="Q125" s="65">
        <v>3.8</v>
      </c>
      <c r="R125" s="65">
        <v>139.10175000000001</v>
      </c>
      <c r="S125" s="66">
        <v>58.74</v>
      </c>
      <c r="T125" s="66">
        <v>38.33</v>
      </c>
      <c r="U125" s="66">
        <v>214.9</v>
      </c>
      <c r="V125" s="65">
        <v>306.97000000000003</v>
      </c>
      <c r="W125" s="66">
        <v>10.6</v>
      </c>
      <c r="X125" s="66">
        <v>3.5</v>
      </c>
      <c r="Y125" s="66">
        <v>135.97860202287825</v>
      </c>
      <c r="Z125" s="66">
        <v>122.74233053083961</v>
      </c>
      <c r="AA125" s="62"/>
      <c r="AB125" s="62"/>
      <c r="AC125" s="62"/>
      <c r="AD125" s="62"/>
      <c r="AE125" s="62"/>
    </row>
    <row r="126" spans="12:31" ht="15" x14ac:dyDescent="0.2">
      <c r="L126" s="64">
        <v>4</v>
      </c>
      <c r="M126" s="64">
        <v>1</v>
      </c>
      <c r="N126" s="63" t="s">
        <v>122</v>
      </c>
      <c r="O126" s="65">
        <v>37.799999999999997</v>
      </c>
      <c r="P126" s="65">
        <v>25.4</v>
      </c>
      <c r="Q126" s="65">
        <v>10.24</v>
      </c>
      <c r="R126" s="65">
        <v>536.23800000000006</v>
      </c>
      <c r="S126" s="65">
        <v>95.31</v>
      </c>
      <c r="T126" s="66">
        <v>36.590000000000003</v>
      </c>
      <c r="U126" s="66">
        <v>205.9</v>
      </c>
      <c r="V126" s="65">
        <v>467.82</v>
      </c>
      <c r="W126" s="66">
        <v>15.16</v>
      </c>
      <c r="X126" s="66">
        <v>5.3</v>
      </c>
      <c r="Y126" s="66">
        <v>445.94321287078441</v>
      </c>
      <c r="Z126" s="66">
        <v>267.40193639730268</v>
      </c>
      <c r="AA126" s="62"/>
      <c r="AB126" s="62"/>
      <c r="AC126" s="62"/>
      <c r="AD126" s="62"/>
      <c r="AE126" s="62"/>
    </row>
    <row r="127" spans="12:31" ht="15" x14ac:dyDescent="0.2">
      <c r="L127" s="64">
        <v>4</v>
      </c>
      <c r="M127" s="64">
        <v>2</v>
      </c>
      <c r="N127" s="63" t="s">
        <v>122</v>
      </c>
      <c r="O127" s="65">
        <v>38.200000000000003</v>
      </c>
      <c r="P127" s="65">
        <v>26.34</v>
      </c>
      <c r="Q127" s="65">
        <v>7.62</v>
      </c>
      <c r="R127" s="65">
        <v>563.35950000000003</v>
      </c>
      <c r="S127" s="65">
        <v>96.49</v>
      </c>
      <c r="T127" s="66">
        <v>44.08</v>
      </c>
      <c r="U127" s="66">
        <v>247.1</v>
      </c>
      <c r="V127" s="65">
        <v>599.35</v>
      </c>
      <c r="W127" s="66">
        <v>18.72</v>
      </c>
      <c r="X127" s="66">
        <v>4.9000000000000004</v>
      </c>
      <c r="Y127" s="66">
        <v>470.6809511831915</v>
      </c>
      <c r="Z127" s="66">
        <v>297.88040958523447</v>
      </c>
      <c r="AA127" s="62"/>
      <c r="AB127" s="62"/>
      <c r="AC127" s="62"/>
      <c r="AD127" s="62"/>
      <c r="AE127" s="62"/>
    </row>
    <row r="128" spans="12:31" ht="15" x14ac:dyDescent="0.2">
      <c r="L128" s="64">
        <v>3</v>
      </c>
      <c r="M128" s="64">
        <v>21</v>
      </c>
      <c r="N128" s="63" t="s">
        <v>122</v>
      </c>
      <c r="O128" s="65">
        <v>26.6</v>
      </c>
      <c r="P128" s="65">
        <v>20</v>
      </c>
      <c r="Q128" s="65">
        <v>9.6</v>
      </c>
      <c r="R128" s="65">
        <v>212.84460000000001</v>
      </c>
      <c r="S128" s="66">
        <v>34.950000000000003</v>
      </c>
      <c r="T128" s="66">
        <v>22.78</v>
      </c>
      <c r="U128" s="66">
        <v>129.19999999999999</v>
      </c>
      <c r="V128" s="65">
        <v>285.29391935871467</v>
      </c>
      <c r="W128" s="66">
        <v>10.4</v>
      </c>
      <c r="X128" s="66">
        <v>3.2</v>
      </c>
      <c r="Y128" s="66">
        <v>111.52235041223288</v>
      </c>
      <c r="Z128" s="66">
        <v>109.38951636034945</v>
      </c>
      <c r="AA128" s="62"/>
      <c r="AB128" s="62"/>
      <c r="AC128" s="62"/>
      <c r="AD128" s="62"/>
      <c r="AE128" s="62"/>
    </row>
    <row r="129" spans="1:31" ht="15" x14ac:dyDescent="0.2">
      <c r="L129" s="64">
        <v>3</v>
      </c>
      <c r="M129" s="64">
        <v>19</v>
      </c>
      <c r="N129" s="63" t="s">
        <v>122</v>
      </c>
      <c r="O129" s="65">
        <v>25.5</v>
      </c>
      <c r="P129" s="65">
        <v>17.899999999999999</v>
      </c>
      <c r="Q129" s="65">
        <v>8.65</v>
      </c>
      <c r="R129" s="65">
        <v>197.80380000000002</v>
      </c>
      <c r="S129" s="66">
        <v>36.11</v>
      </c>
      <c r="T129" s="66">
        <v>23</v>
      </c>
      <c r="U129" s="66">
        <v>129.80000000000001</v>
      </c>
      <c r="V129" s="65">
        <v>237.6752287119273</v>
      </c>
      <c r="W129" s="66">
        <v>9.25</v>
      </c>
      <c r="X129" s="66">
        <v>3.3</v>
      </c>
      <c r="Y129" s="66">
        <v>105.48682732591126</v>
      </c>
      <c r="Z129" s="66">
        <v>101.81706105276371</v>
      </c>
      <c r="AA129" s="62"/>
      <c r="AB129" s="62"/>
      <c r="AC129" s="62"/>
      <c r="AD129" s="62"/>
      <c r="AE129" s="62"/>
    </row>
    <row r="130" spans="1:31" ht="15" x14ac:dyDescent="0.2">
      <c r="L130" s="64">
        <v>1</v>
      </c>
      <c r="M130" s="64">
        <v>11</v>
      </c>
      <c r="N130" s="63" t="s">
        <v>122</v>
      </c>
      <c r="O130" s="65">
        <v>8</v>
      </c>
      <c r="P130" s="65">
        <v>6.16</v>
      </c>
      <c r="Q130" s="65">
        <v>0.28000000000000003</v>
      </c>
      <c r="R130" s="65">
        <v>7.3210499999999996</v>
      </c>
      <c r="S130" s="66">
        <v>3.63</v>
      </c>
      <c r="T130" s="66">
        <v>4.5999999999999996</v>
      </c>
      <c r="U130" s="66">
        <v>26.16</v>
      </c>
      <c r="V130" s="66">
        <v>44.149199168717587</v>
      </c>
      <c r="W130" s="66">
        <v>5.88</v>
      </c>
      <c r="X130" s="66">
        <v>1.3</v>
      </c>
      <c r="Y130" s="66">
        <v>10.40621150575083</v>
      </c>
      <c r="Z130" s="66">
        <v>24.594243763824934</v>
      </c>
      <c r="AA130" s="62"/>
      <c r="AB130" s="62"/>
      <c r="AC130" s="62"/>
      <c r="AD130" s="62"/>
      <c r="AE130" s="62"/>
    </row>
    <row r="131" spans="1:31" ht="15" x14ac:dyDescent="0.2">
      <c r="L131" s="64">
        <v>4</v>
      </c>
      <c r="M131" s="64">
        <v>23</v>
      </c>
      <c r="N131" s="63" t="s">
        <v>755</v>
      </c>
      <c r="O131" s="65">
        <v>19.8</v>
      </c>
      <c r="P131" s="65">
        <v>20.5</v>
      </c>
      <c r="Q131" s="65">
        <v>8.75</v>
      </c>
      <c r="R131" s="65">
        <v>136.44945000000001</v>
      </c>
      <c r="S131" s="66">
        <v>13.37</v>
      </c>
      <c r="T131" s="66">
        <v>10.51</v>
      </c>
      <c r="U131" s="66">
        <v>59.1</v>
      </c>
      <c r="V131" s="65">
        <v>178.14597491721767</v>
      </c>
      <c r="W131" s="66">
        <v>11.75</v>
      </c>
      <c r="X131" s="66">
        <v>3</v>
      </c>
      <c r="Y131" s="66">
        <v>110.7411410390402</v>
      </c>
      <c r="Z131" s="66">
        <v>114.29364932102236</v>
      </c>
      <c r="AA131" s="62"/>
      <c r="AB131" s="62"/>
      <c r="AC131" s="62"/>
      <c r="AD131" s="62"/>
      <c r="AE131" s="62"/>
    </row>
    <row r="132" spans="1:31" ht="15" x14ac:dyDescent="0.2">
      <c r="L132" s="64">
        <v>4</v>
      </c>
      <c r="M132" s="64">
        <v>24</v>
      </c>
      <c r="N132" s="63" t="s">
        <v>755</v>
      </c>
      <c r="O132" s="65">
        <v>20.5</v>
      </c>
      <c r="P132" s="65">
        <v>19.829999999999998</v>
      </c>
      <c r="Q132" s="65">
        <v>10.16</v>
      </c>
      <c r="R132" s="65">
        <v>121.45365</v>
      </c>
      <c r="S132" s="66">
        <v>10.33</v>
      </c>
      <c r="T132" s="66">
        <v>8.4600000000000009</v>
      </c>
      <c r="U132" s="66">
        <v>47.7</v>
      </c>
      <c r="V132" s="65">
        <v>157.84146889798521</v>
      </c>
      <c r="W132" s="66">
        <v>9.67</v>
      </c>
      <c r="X132" s="66">
        <v>2.6</v>
      </c>
      <c r="Y132" s="66">
        <v>68.454466163680621</v>
      </c>
      <c r="Z132" s="66">
        <v>81.791155919885043</v>
      </c>
      <c r="AA132" s="62"/>
      <c r="AB132" s="62"/>
      <c r="AC132" s="62"/>
      <c r="AD132" s="62"/>
      <c r="AE132" s="62"/>
    </row>
    <row r="133" spans="1:31" ht="15" x14ac:dyDescent="0.2">
      <c r="L133" s="64">
        <v>2</v>
      </c>
      <c r="M133" s="64">
        <v>8</v>
      </c>
      <c r="N133" s="63" t="s">
        <v>755</v>
      </c>
      <c r="O133" s="65">
        <v>8.8000000000000007</v>
      </c>
      <c r="P133" s="65">
        <v>9.2200000000000006</v>
      </c>
      <c r="Q133" s="65">
        <v>4.24</v>
      </c>
      <c r="R133" s="65">
        <v>13.9077</v>
      </c>
      <c r="S133" s="66">
        <v>1.1200000000000001</v>
      </c>
      <c r="T133" s="66">
        <v>1.55</v>
      </c>
      <c r="U133" s="66">
        <v>8.85</v>
      </c>
      <c r="V133" s="66">
        <v>37.549019112459611</v>
      </c>
      <c r="W133" s="66">
        <v>4.9800000000000004</v>
      </c>
      <c r="X133" s="66">
        <v>1.4</v>
      </c>
      <c r="Y133" s="66">
        <v>10.221485857719751</v>
      </c>
      <c r="Z133" s="66">
        <v>22.752242543653292</v>
      </c>
      <c r="AA133" s="62"/>
      <c r="AB133" s="62"/>
      <c r="AC133" s="62"/>
      <c r="AD133" s="62"/>
      <c r="AE133" s="62"/>
    </row>
    <row r="134" spans="1:31" ht="15" x14ac:dyDescent="0.2">
      <c r="L134" s="64">
        <v>2</v>
      </c>
      <c r="M134" s="64">
        <v>9</v>
      </c>
      <c r="N134" s="63" t="s">
        <v>755</v>
      </c>
      <c r="O134" s="65">
        <v>8.9</v>
      </c>
      <c r="P134" s="65">
        <v>10.95</v>
      </c>
      <c r="Q134" s="65">
        <v>4.2300000000000004</v>
      </c>
      <c r="R134" s="65">
        <v>15.704100000000002</v>
      </c>
      <c r="S134" s="66">
        <v>1.49</v>
      </c>
      <c r="T134" s="66">
        <v>2.36</v>
      </c>
      <c r="U134" s="66">
        <v>13.23</v>
      </c>
      <c r="V134" s="65">
        <v>42.846905930295662</v>
      </c>
      <c r="W134" s="66">
        <v>6.72</v>
      </c>
      <c r="X134" s="66">
        <v>1.5</v>
      </c>
      <c r="Y134" s="66">
        <v>15.833626974092555</v>
      </c>
      <c r="Z134" s="66">
        <v>32.446569077475054</v>
      </c>
      <c r="AA134" s="62"/>
      <c r="AB134" s="62"/>
      <c r="AC134" s="62"/>
      <c r="AD134" s="62"/>
      <c r="AE134" s="62"/>
    </row>
    <row r="135" spans="1:31" ht="15" x14ac:dyDescent="0.2">
      <c r="L135" s="64">
        <v>1</v>
      </c>
      <c r="M135" s="64">
        <v>15</v>
      </c>
      <c r="N135" s="63" t="s">
        <v>755</v>
      </c>
      <c r="O135" s="65">
        <v>5.9</v>
      </c>
      <c r="P135" s="65">
        <v>4.7699999999999996</v>
      </c>
      <c r="Q135" s="65">
        <v>0.25</v>
      </c>
      <c r="R135" s="65">
        <v>3.7435500000000004</v>
      </c>
      <c r="S135" s="66">
        <v>3.33</v>
      </c>
      <c r="T135" s="66">
        <v>3.44</v>
      </c>
      <c r="U135" s="66">
        <v>20.03</v>
      </c>
      <c r="V135" s="65">
        <v>22.061834409834322</v>
      </c>
      <c r="W135" s="66">
        <v>4.5199999999999996</v>
      </c>
      <c r="X135" s="66">
        <v>1.5</v>
      </c>
      <c r="Y135" s="66">
        <v>10.649999095669397</v>
      </c>
      <c r="Z135" s="66">
        <v>22.442254682441131</v>
      </c>
      <c r="AA135" s="62"/>
      <c r="AB135" s="62"/>
      <c r="AC135" s="62"/>
      <c r="AD135" s="62"/>
      <c r="AE135" s="62"/>
    </row>
    <row r="136" spans="1:31" ht="15" x14ac:dyDescent="0.2">
      <c r="L136" s="64">
        <v>1</v>
      </c>
      <c r="M136" s="64">
        <v>13</v>
      </c>
      <c r="N136" s="63" t="s">
        <v>755</v>
      </c>
      <c r="O136" s="65">
        <v>4.2</v>
      </c>
      <c r="P136" s="65">
        <v>4.3</v>
      </c>
      <c r="Q136" s="65">
        <v>0.24</v>
      </c>
      <c r="R136" s="65">
        <v>2.0295000000000001</v>
      </c>
      <c r="S136" s="66">
        <v>1.49</v>
      </c>
      <c r="T136" s="66">
        <v>2.17</v>
      </c>
      <c r="U136" s="66">
        <v>12.55</v>
      </c>
      <c r="V136" s="66">
        <v>11.091835828062921</v>
      </c>
      <c r="W136" s="66">
        <v>4.0599999999999996</v>
      </c>
      <c r="X136" s="66">
        <v>1.2</v>
      </c>
      <c r="Y136" s="66">
        <v>6.1223357633157889</v>
      </c>
      <c r="Z136" s="66">
        <v>15.960398857122771</v>
      </c>
      <c r="AA136" s="62"/>
      <c r="AB136" s="62"/>
      <c r="AC136" s="62"/>
      <c r="AD136" s="62"/>
      <c r="AE136" s="62"/>
    </row>
    <row r="137" spans="1:31" ht="15" x14ac:dyDescent="0.2">
      <c r="L137" s="64">
        <v>1</v>
      </c>
      <c r="M137" s="64">
        <v>14</v>
      </c>
      <c r="N137" s="63" t="s">
        <v>755</v>
      </c>
      <c r="O137" s="65">
        <v>5.0999999999999996</v>
      </c>
      <c r="P137" s="65">
        <v>4</v>
      </c>
      <c r="Q137" s="65">
        <v>0.36</v>
      </c>
      <c r="R137" s="65">
        <v>2.6406000000000001</v>
      </c>
      <c r="S137" s="66">
        <v>1.66</v>
      </c>
      <c r="T137" s="66">
        <v>2.76</v>
      </c>
      <c r="U137" s="66">
        <v>15.6</v>
      </c>
      <c r="V137" s="65">
        <v>16.982271788061329</v>
      </c>
      <c r="W137" s="66">
        <v>3.64</v>
      </c>
      <c r="X137" s="66">
        <v>1</v>
      </c>
      <c r="Y137" s="66">
        <v>3.8117990863556157</v>
      </c>
      <c r="Z137" s="66">
        <v>11.859085752019965</v>
      </c>
      <c r="AA137" s="62"/>
      <c r="AB137" s="62"/>
      <c r="AC137" s="62"/>
      <c r="AD137" s="62"/>
      <c r="AE137" s="62"/>
    </row>
    <row r="138" spans="1:31" ht="15" x14ac:dyDescent="0.2">
      <c r="L138" s="64">
        <v>3</v>
      </c>
      <c r="M138" s="64">
        <v>17</v>
      </c>
      <c r="N138" s="63" t="s">
        <v>755</v>
      </c>
      <c r="O138" s="65">
        <v>16.3</v>
      </c>
      <c r="P138" s="65">
        <v>15.9</v>
      </c>
      <c r="Q138" s="65">
        <v>8.39</v>
      </c>
      <c r="R138" s="65">
        <v>65.938050000000004</v>
      </c>
      <c r="S138" s="66">
        <v>5.6</v>
      </c>
      <c r="T138" s="66">
        <v>6.56</v>
      </c>
      <c r="U138" s="66">
        <v>36.96</v>
      </c>
      <c r="V138" s="65">
        <v>102.02076705606794</v>
      </c>
      <c r="W138" s="66">
        <v>7.51</v>
      </c>
      <c r="X138" s="66">
        <v>2.1</v>
      </c>
      <c r="Y138" s="66">
        <v>34.682240417835239</v>
      </c>
      <c r="Z138" s="66">
        <v>51.446641201393476</v>
      </c>
      <c r="AA138" s="62"/>
      <c r="AB138" s="62"/>
      <c r="AC138" s="62"/>
      <c r="AD138" s="62"/>
      <c r="AE138" s="62"/>
    </row>
    <row r="139" spans="1:31" ht="15" x14ac:dyDescent="0.2">
      <c r="A139" t="s">
        <v>839</v>
      </c>
      <c r="L139" s="64">
        <v>4</v>
      </c>
      <c r="M139" s="64">
        <v>22</v>
      </c>
      <c r="N139" s="63" t="s">
        <v>755</v>
      </c>
      <c r="O139" s="65">
        <v>17.600000000000001</v>
      </c>
      <c r="P139" s="65">
        <v>19</v>
      </c>
      <c r="Q139" s="65">
        <v>10.27</v>
      </c>
      <c r="R139" s="65">
        <v>88.591500000000011</v>
      </c>
      <c r="S139" s="66">
        <v>5.79</v>
      </c>
      <c r="T139" s="66">
        <v>5.66</v>
      </c>
      <c r="U139" s="66">
        <v>31.96</v>
      </c>
      <c r="V139" s="65">
        <v>102.79438424701439</v>
      </c>
      <c r="W139" s="66">
        <v>8.73</v>
      </c>
      <c r="X139" s="66">
        <v>2.4</v>
      </c>
      <c r="Y139" s="66">
        <v>52.658119422410678</v>
      </c>
      <c r="Z139" s="66">
        <v>68.26471229671985</v>
      </c>
      <c r="AA139" s="62"/>
      <c r="AB139" s="62"/>
      <c r="AC139" s="62"/>
      <c r="AD139" s="62"/>
      <c r="AE139" s="62"/>
    </row>
    <row r="140" spans="1:31" ht="15" x14ac:dyDescent="0.2">
      <c r="A140" t="s">
        <v>840</v>
      </c>
      <c r="L140" s="64">
        <v>3</v>
      </c>
      <c r="M140" s="64">
        <v>18</v>
      </c>
      <c r="N140" s="63" t="s">
        <v>755</v>
      </c>
      <c r="O140" s="65">
        <v>12.2</v>
      </c>
      <c r="P140" s="65">
        <v>14.2</v>
      </c>
      <c r="Q140" s="65">
        <v>9.2100000000000009</v>
      </c>
      <c r="R140" s="65">
        <v>31.828949999999999</v>
      </c>
      <c r="S140" s="66">
        <v>1.58</v>
      </c>
      <c r="T140" s="66">
        <v>2.1800000000000002</v>
      </c>
      <c r="U140" s="66">
        <v>12.43</v>
      </c>
      <c r="V140" s="65">
        <v>55.920349233898321</v>
      </c>
      <c r="W140" s="66">
        <v>4.99</v>
      </c>
      <c r="X140" s="66">
        <v>1.4</v>
      </c>
      <c r="Y140" s="66">
        <v>10.2420109297232</v>
      </c>
      <c r="Z140" s="66">
        <v>22.794586635875898</v>
      </c>
      <c r="AA140" s="62"/>
      <c r="AB140" s="62"/>
      <c r="AC140" s="62"/>
      <c r="AD140" s="62"/>
      <c r="AE140" s="62"/>
    </row>
    <row r="141" spans="1:31" ht="15" x14ac:dyDescent="0.2">
      <c r="A141" s="65" t="s">
        <v>841</v>
      </c>
      <c r="B141" s="65" t="s">
        <v>842</v>
      </c>
      <c r="C141" s="65" t="s">
        <v>339</v>
      </c>
      <c r="D141" s="65"/>
      <c r="E141" s="65" t="s">
        <v>843</v>
      </c>
      <c r="F141" s="65" t="s">
        <v>844</v>
      </c>
      <c r="L141" s="64">
        <v>2</v>
      </c>
      <c r="M141" s="64">
        <v>7</v>
      </c>
      <c r="N141" s="63" t="s">
        <v>755</v>
      </c>
      <c r="O141" s="65">
        <v>10.5</v>
      </c>
      <c r="P141" s="65">
        <v>9.41</v>
      </c>
      <c r="Q141" s="65">
        <v>4.21</v>
      </c>
      <c r="R141" s="65">
        <v>21.000599999999999</v>
      </c>
      <c r="S141" s="66">
        <v>3.36</v>
      </c>
      <c r="T141" s="66">
        <v>3.68</v>
      </c>
      <c r="U141" s="66">
        <v>20.61</v>
      </c>
      <c r="V141" s="66">
        <v>56.088966561947665</v>
      </c>
      <c r="W141" s="66">
        <v>5.2</v>
      </c>
      <c r="X141" s="66">
        <v>2</v>
      </c>
      <c r="Y141" s="66">
        <v>21.781709064889235</v>
      </c>
      <c r="Z141" s="66">
        <v>35.005857830358259</v>
      </c>
      <c r="AA141" s="62"/>
      <c r="AB141" s="62"/>
      <c r="AC141" s="62"/>
      <c r="AD141" s="62"/>
      <c r="AE141" s="62"/>
    </row>
    <row r="142" spans="1:31" ht="15" x14ac:dyDescent="0.2">
      <c r="A142" s="65">
        <v>1</v>
      </c>
      <c r="B142" s="65">
        <v>9.6999999999999993</v>
      </c>
      <c r="C142" s="65">
        <v>8.5</v>
      </c>
      <c r="D142" s="65"/>
      <c r="E142" s="65">
        <v>18.2</v>
      </c>
      <c r="F142" s="65">
        <v>14.7</v>
      </c>
      <c r="L142" s="64">
        <v>3</v>
      </c>
      <c r="M142" s="64">
        <v>16</v>
      </c>
      <c r="N142" s="63" t="s">
        <v>755</v>
      </c>
      <c r="O142" s="65">
        <v>11.9</v>
      </c>
      <c r="P142" s="65">
        <v>14.78</v>
      </c>
      <c r="Q142" s="65">
        <v>6.85</v>
      </c>
      <c r="R142" s="65">
        <v>36.269100000000002</v>
      </c>
      <c r="S142" s="66">
        <v>2.92</v>
      </c>
      <c r="T142" s="66">
        <v>3.93</v>
      </c>
      <c r="U142" s="66">
        <v>22.1</v>
      </c>
      <c r="V142" s="65">
        <v>57.25699873323034</v>
      </c>
      <c r="W142" s="66">
        <v>7.93</v>
      </c>
      <c r="X142" s="66">
        <v>1.6</v>
      </c>
      <c r="Y142" s="66">
        <v>21.258948047331891</v>
      </c>
      <c r="Z142" s="66">
        <v>40.663781170179732</v>
      </c>
      <c r="AA142" s="62"/>
      <c r="AB142" s="62"/>
      <c r="AC142" s="62"/>
      <c r="AD142" s="62"/>
      <c r="AE142" s="62"/>
    </row>
    <row r="143" spans="1:31" ht="15" x14ac:dyDescent="0.2">
      <c r="A143" s="65">
        <v>2</v>
      </c>
      <c r="B143" s="65">
        <v>13.1</v>
      </c>
      <c r="C143" s="65">
        <v>17</v>
      </c>
      <c r="D143" s="65"/>
      <c r="E143" s="65">
        <v>30.1</v>
      </c>
      <c r="F143" s="65">
        <v>59.1</v>
      </c>
      <c r="L143" s="62"/>
      <c r="M143" s="62"/>
      <c r="N143" s="62"/>
      <c r="O143" s="62"/>
      <c r="P143" s="62"/>
      <c r="Q143" s="62"/>
      <c r="R143" s="62"/>
      <c r="S143" s="62"/>
      <c r="T143" s="62"/>
      <c r="U143" s="62"/>
      <c r="V143" s="67"/>
      <c r="W143" s="64"/>
      <c r="X143" s="65"/>
      <c r="Y143" s="65"/>
      <c r="Z143" s="65"/>
      <c r="AA143" s="62"/>
      <c r="AB143" s="62"/>
      <c r="AC143" s="62"/>
      <c r="AD143" s="62"/>
      <c r="AE143" s="62"/>
    </row>
    <row r="144" spans="1:31" ht="15" x14ac:dyDescent="0.2">
      <c r="A144" s="65">
        <v>3</v>
      </c>
      <c r="B144" s="65">
        <v>10</v>
      </c>
      <c r="C144" s="65">
        <v>13.6</v>
      </c>
      <c r="D144" s="65"/>
      <c r="E144" s="65">
        <v>23.6</v>
      </c>
      <c r="F144" s="65">
        <v>96.3</v>
      </c>
      <c r="L144" s="62" t="s">
        <v>757</v>
      </c>
      <c r="M144" s="62" t="s">
        <v>777</v>
      </c>
      <c r="N144" s="62"/>
      <c r="O144" s="62"/>
      <c r="P144" s="62"/>
      <c r="Q144" s="62"/>
      <c r="R144" s="62"/>
      <c r="S144" s="62"/>
      <c r="T144" s="62"/>
      <c r="U144" s="62"/>
      <c r="V144" s="62"/>
      <c r="W144" s="68"/>
      <c r="X144" s="62"/>
      <c r="Y144" s="62"/>
      <c r="Z144" s="62"/>
      <c r="AA144" s="62"/>
      <c r="AB144" s="62"/>
      <c r="AC144" s="62"/>
      <c r="AD144" s="62"/>
      <c r="AE144" s="62"/>
    </row>
    <row r="145" spans="1:31" ht="15" x14ac:dyDescent="0.2">
      <c r="A145" s="65">
        <v>4</v>
      </c>
      <c r="B145" s="65">
        <v>8.6999999999999993</v>
      </c>
      <c r="C145" s="65">
        <v>14.6</v>
      </c>
      <c r="D145" s="65"/>
      <c r="E145" s="65">
        <v>23.4</v>
      </c>
      <c r="F145" s="65">
        <v>119.8</v>
      </c>
      <c r="L145" s="62" t="s">
        <v>758</v>
      </c>
      <c r="M145" s="62" t="s">
        <v>778</v>
      </c>
      <c r="N145" s="62"/>
      <c r="O145" s="62"/>
      <c r="P145" s="62"/>
      <c r="Q145" s="62"/>
      <c r="R145" s="62"/>
      <c r="S145" s="62"/>
      <c r="T145" s="62"/>
      <c r="U145" s="62"/>
      <c r="V145" s="62"/>
      <c r="W145" s="68"/>
      <c r="X145" s="62"/>
      <c r="Y145" s="62"/>
      <c r="Z145" s="62"/>
      <c r="AA145" s="62"/>
      <c r="AB145" s="62"/>
      <c r="AC145" s="62"/>
      <c r="AD145" s="62"/>
      <c r="AE145" s="62"/>
    </row>
    <row r="146" spans="1:31" ht="15" x14ac:dyDescent="0.2">
      <c r="A146" s="65"/>
      <c r="B146" s="65"/>
      <c r="C146" s="65"/>
      <c r="D146" s="65"/>
      <c r="E146" s="65"/>
      <c r="F146" s="65"/>
      <c r="L146" s="62" t="s">
        <v>759</v>
      </c>
      <c r="M146" s="62" t="s">
        <v>779</v>
      </c>
      <c r="N146" s="62"/>
      <c r="O146" s="62"/>
      <c r="P146" s="62"/>
      <c r="Q146" s="62"/>
      <c r="R146" s="62"/>
      <c r="S146" s="62"/>
      <c r="T146" s="62"/>
      <c r="U146" s="62"/>
      <c r="V146" s="62"/>
      <c r="W146" s="68"/>
      <c r="X146" s="62"/>
      <c r="Y146" s="62"/>
      <c r="Z146" s="62"/>
      <c r="AA146" s="62"/>
      <c r="AB146" s="62"/>
      <c r="AC146" s="62"/>
      <c r="AD146" s="62"/>
      <c r="AE146" s="62"/>
    </row>
    <row r="147" spans="1:31" ht="15" x14ac:dyDescent="0.2">
      <c r="A147" s="65"/>
      <c r="B147" s="65"/>
      <c r="C147" s="65"/>
      <c r="D147" s="65"/>
      <c r="E147" s="65"/>
      <c r="F147" s="65"/>
      <c r="L147" s="62" t="s">
        <v>760</v>
      </c>
      <c r="M147" s="62" t="s">
        <v>780</v>
      </c>
      <c r="N147" s="62"/>
      <c r="O147" s="62"/>
      <c r="P147" s="62"/>
      <c r="Q147" s="62"/>
      <c r="R147" s="62"/>
      <c r="S147" s="62"/>
      <c r="T147" s="62"/>
      <c r="U147" s="62"/>
      <c r="V147" s="62"/>
      <c r="W147" s="68"/>
      <c r="X147" s="62"/>
      <c r="Y147" s="62"/>
      <c r="Z147" s="62"/>
      <c r="AA147" s="62"/>
      <c r="AB147" s="62"/>
      <c r="AC147" s="62"/>
      <c r="AD147" s="62"/>
      <c r="AE147" s="62"/>
    </row>
    <row r="148" spans="1:31" ht="15" x14ac:dyDescent="0.2">
      <c r="A148" s="65"/>
      <c r="B148" s="65"/>
      <c r="C148" s="65"/>
      <c r="D148" s="65"/>
      <c r="E148" s="65"/>
      <c r="F148" s="65"/>
      <c r="L148" s="62" t="s">
        <v>761</v>
      </c>
      <c r="M148" s="62" t="s">
        <v>781</v>
      </c>
      <c r="N148" s="62"/>
      <c r="O148" s="62"/>
      <c r="P148" s="62"/>
      <c r="Q148" s="62"/>
      <c r="R148" s="62"/>
      <c r="S148" s="62"/>
      <c r="T148" s="62"/>
      <c r="U148" s="62"/>
      <c r="V148" s="62"/>
      <c r="W148" s="68"/>
      <c r="X148" s="62"/>
      <c r="Y148" s="62"/>
      <c r="Z148" s="62"/>
      <c r="AA148" s="62"/>
      <c r="AB148" s="62"/>
      <c r="AC148" s="62"/>
      <c r="AD148" s="62"/>
      <c r="AE148" s="62"/>
    </row>
    <row r="149" spans="1:31" ht="15" x14ac:dyDescent="0.2">
      <c r="L149" s="62" t="s">
        <v>762</v>
      </c>
      <c r="M149" s="62" t="s">
        <v>829</v>
      </c>
      <c r="N149" s="62"/>
      <c r="O149" s="62"/>
      <c r="P149" s="62"/>
      <c r="Q149" s="62"/>
      <c r="R149" s="62"/>
      <c r="S149" s="62"/>
      <c r="T149" s="62"/>
      <c r="U149" s="62"/>
      <c r="V149" s="62"/>
      <c r="W149" s="68"/>
      <c r="X149" s="62"/>
      <c r="Y149" s="62"/>
      <c r="Z149" s="62"/>
      <c r="AA149" s="62"/>
      <c r="AB149" s="62"/>
      <c r="AC149" s="62"/>
      <c r="AD149" s="62"/>
      <c r="AE149" s="62"/>
    </row>
    <row r="150" spans="1:31" ht="15" x14ac:dyDescent="0.2">
      <c r="L150" s="62" t="s">
        <v>178</v>
      </c>
      <c r="M150" s="62" t="s">
        <v>830</v>
      </c>
      <c r="N150" s="62"/>
      <c r="O150" s="62"/>
      <c r="P150" s="62"/>
      <c r="Q150" s="62"/>
      <c r="R150" s="62"/>
      <c r="S150" s="62"/>
      <c r="T150" s="62"/>
      <c r="U150" s="62"/>
      <c r="V150" s="62"/>
      <c r="W150" s="68"/>
      <c r="X150" s="62"/>
      <c r="Y150" s="62"/>
      <c r="Z150" s="62"/>
      <c r="AA150" s="62"/>
      <c r="AB150" s="62"/>
      <c r="AC150" s="62"/>
      <c r="AD150" s="62"/>
      <c r="AE150" s="62"/>
    </row>
    <row r="151" spans="1:31" ht="15" x14ac:dyDescent="0.2">
      <c r="L151" s="62" t="s">
        <v>763</v>
      </c>
      <c r="M151" s="62" t="s">
        <v>831</v>
      </c>
      <c r="N151" s="62"/>
      <c r="O151" s="62"/>
      <c r="P151" s="62"/>
      <c r="Q151" s="62"/>
      <c r="R151" s="62"/>
      <c r="S151" s="62"/>
      <c r="T151" s="62"/>
      <c r="U151" s="62"/>
      <c r="V151" s="62"/>
      <c r="W151" s="68"/>
      <c r="X151" s="62"/>
      <c r="Y151" s="62"/>
      <c r="Z151" s="62"/>
      <c r="AA151" s="62"/>
      <c r="AB151" s="62"/>
      <c r="AC151" s="62"/>
      <c r="AD151" s="62"/>
      <c r="AE151" s="62"/>
    </row>
    <row r="152" spans="1:31" ht="15" x14ac:dyDescent="0.2">
      <c r="L152" s="62" t="s">
        <v>764</v>
      </c>
      <c r="M152" s="62" t="s">
        <v>832</v>
      </c>
      <c r="N152" s="62"/>
      <c r="O152" s="62"/>
      <c r="P152" s="62"/>
      <c r="Q152" s="62"/>
      <c r="R152" s="62"/>
      <c r="S152" s="62"/>
      <c r="T152" s="62"/>
      <c r="U152" s="62"/>
      <c r="V152" s="62"/>
      <c r="W152" s="68"/>
      <c r="X152" s="62"/>
      <c r="Y152" s="62"/>
      <c r="Z152" s="62"/>
      <c r="AA152" s="62"/>
      <c r="AB152" s="62"/>
      <c r="AC152" s="62"/>
      <c r="AD152" s="62"/>
      <c r="AE152" s="62"/>
    </row>
    <row r="153" spans="1:31" ht="15" x14ac:dyDescent="0.2">
      <c r="L153" s="62" t="s">
        <v>765</v>
      </c>
      <c r="M153" s="62" t="s">
        <v>833</v>
      </c>
      <c r="N153" s="62"/>
      <c r="O153" s="62"/>
      <c r="P153" s="62"/>
      <c r="Q153" s="62"/>
      <c r="R153" s="62"/>
      <c r="S153" s="62"/>
      <c r="T153" s="62"/>
      <c r="U153" s="62"/>
      <c r="V153" s="62"/>
      <c r="W153" s="68"/>
      <c r="X153" s="62"/>
      <c r="Y153" s="62"/>
      <c r="Z153" s="62"/>
      <c r="AA153" s="62"/>
      <c r="AB153" s="62"/>
      <c r="AC153" s="62"/>
      <c r="AD153" s="62"/>
      <c r="AE153" s="62"/>
    </row>
    <row r="154" spans="1:31" ht="15" x14ac:dyDescent="0.2">
      <c r="L154" s="62" t="s">
        <v>766</v>
      </c>
      <c r="M154" s="62" t="s">
        <v>834</v>
      </c>
      <c r="N154" s="62"/>
      <c r="O154" s="62"/>
      <c r="P154" s="62"/>
      <c r="Q154" s="62"/>
      <c r="R154" s="62"/>
      <c r="S154" s="62"/>
      <c r="T154" s="62"/>
      <c r="U154" s="62"/>
      <c r="V154" s="62"/>
      <c r="W154" s="62"/>
      <c r="X154" s="62"/>
      <c r="Y154" s="62"/>
      <c r="Z154" s="62"/>
      <c r="AA154" s="62"/>
      <c r="AB154" s="62"/>
      <c r="AC154" s="62"/>
      <c r="AD154" s="62"/>
      <c r="AE154" s="62"/>
    </row>
    <row r="155" spans="1:31" ht="15" x14ac:dyDescent="0.2">
      <c r="L155" s="62" t="s">
        <v>767</v>
      </c>
      <c r="M155" s="62" t="s">
        <v>835</v>
      </c>
      <c r="N155" s="62"/>
      <c r="O155" s="62"/>
      <c r="P155" s="62"/>
      <c r="Q155" s="62"/>
      <c r="R155" s="62"/>
      <c r="S155" s="62"/>
      <c r="T155" s="62"/>
      <c r="U155" s="62"/>
      <c r="V155" s="62"/>
      <c r="W155" s="62"/>
      <c r="X155" s="62"/>
      <c r="Y155" s="62"/>
      <c r="Z155" s="62"/>
      <c r="AA155" s="62"/>
      <c r="AB155" s="62"/>
      <c r="AC155" s="62"/>
      <c r="AD155" s="62"/>
      <c r="AE155" s="62"/>
    </row>
    <row r="156" spans="1:31" ht="15" x14ac:dyDescent="0.2">
      <c r="L156" s="62" t="s">
        <v>768</v>
      </c>
      <c r="M156" s="62" t="s">
        <v>836</v>
      </c>
      <c r="N156" s="62"/>
      <c r="O156" s="62"/>
      <c r="P156" s="62"/>
      <c r="Q156" s="62"/>
      <c r="R156" s="62"/>
      <c r="S156" s="62"/>
      <c r="T156" s="62"/>
      <c r="U156" s="62"/>
      <c r="V156" s="62"/>
      <c r="W156" s="62"/>
      <c r="X156" s="62"/>
      <c r="Y156" s="62"/>
      <c r="Z156" s="62"/>
      <c r="AA156" s="62"/>
      <c r="AB156" s="62"/>
      <c r="AC156" s="62"/>
      <c r="AD156" s="62"/>
      <c r="AE156" s="62"/>
    </row>
    <row r="157" spans="1:31" ht="15" x14ac:dyDescent="0.2">
      <c r="L157" s="62" t="s">
        <v>769</v>
      </c>
      <c r="M157" s="62" t="s">
        <v>837</v>
      </c>
      <c r="N157" s="62"/>
      <c r="O157" s="62"/>
      <c r="P157" s="62"/>
      <c r="Q157" s="62"/>
      <c r="R157" s="62"/>
      <c r="S157" s="62"/>
      <c r="T157" s="62"/>
      <c r="U157" s="62"/>
      <c r="V157" s="62"/>
      <c r="W157" s="62"/>
      <c r="X157" s="62"/>
      <c r="Y157" s="62"/>
      <c r="Z157" s="62"/>
      <c r="AA157" s="62"/>
      <c r="AB157" s="62"/>
      <c r="AC157" s="62"/>
      <c r="AD157" s="62"/>
      <c r="AE157" s="62"/>
    </row>
    <row r="158" spans="1:31" ht="15" x14ac:dyDescent="0.2">
      <c r="L158" s="62" t="s">
        <v>770</v>
      </c>
      <c r="M158" s="62" t="s">
        <v>838</v>
      </c>
      <c r="N158" s="62"/>
      <c r="O158" s="62"/>
      <c r="P158" s="62"/>
      <c r="Q158" s="62"/>
      <c r="R158" s="62"/>
      <c r="S158" s="62"/>
      <c r="T158" s="62"/>
      <c r="U158" s="62"/>
      <c r="V158" s="62"/>
      <c r="W158" s="62"/>
      <c r="X158" s="62"/>
      <c r="Y158" s="62"/>
      <c r="Z158" s="62"/>
      <c r="AA158" s="62"/>
      <c r="AB158" s="62"/>
      <c r="AC158" s="62"/>
      <c r="AD158" s="62"/>
      <c r="AE158" s="62"/>
    </row>
    <row r="159" spans="1:31" ht="15" x14ac:dyDescent="0.2">
      <c r="A159" s="7" t="s">
        <v>976</v>
      </c>
      <c r="B159" s="2" t="s">
        <v>852</v>
      </c>
      <c r="L159" s="62"/>
      <c r="M159" s="62"/>
      <c r="N159" s="62"/>
      <c r="O159" s="62"/>
      <c r="P159" s="62"/>
      <c r="Q159" s="62"/>
      <c r="R159" s="62"/>
      <c r="S159" s="62"/>
      <c r="T159" s="62"/>
      <c r="U159" s="62"/>
      <c r="V159" s="62"/>
      <c r="W159" s="62"/>
      <c r="X159" s="62"/>
      <c r="Y159" s="62"/>
      <c r="Z159" s="62"/>
      <c r="AA159" s="62"/>
      <c r="AB159" s="62"/>
      <c r="AC159" s="62"/>
      <c r="AD159" s="62"/>
      <c r="AE159" s="62"/>
    </row>
    <row r="160" spans="1:31" x14ac:dyDescent="0.2">
      <c r="A160" s="7" t="s">
        <v>977</v>
      </c>
      <c r="B160" t="s">
        <v>745</v>
      </c>
    </row>
    <row r="161" spans="1:18" x14ac:dyDescent="0.2">
      <c r="B161" t="s">
        <v>746</v>
      </c>
    </row>
    <row r="164" spans="1:18" x14ac:dyDescent="0.2">
      <c r="A164" s="7" t="s">
        <v>976</v>
      </c>
      <c r="B164" t="s">
        <v>970</v>
      </c>
    </row>
    <row r="165" spans="1:18" x14ac:dyDescent="0.2">
      <c r="A165" s="7" t="s">
        <v>977</v>
      </c>
      <c r="B165" t="s">
        <v>489</v>
      </c>
    </row>
    <row r="166" spans="1:18" x14ac:dyDescent="0.2">
      <c r="B166" s="7" t="s">
        <v>475</v>
      </c>
      <c r="C166" s="7" t="s">
        <v>971</v>
      </c>
      <c r="D166" s="7"/>
      <c r="E166" s="7" t="s">
        <v>476</v>
      </c>
      <c r="F166" s="7" t="s">
        <v>477</v>
      </c>
    </row>
    <row r="167" spans="1:18" x14ac:dyDescent="0.2">
      <c r="B167" t="s">
        <v>478</v>
      </c>
      <c r="C167" t="s">
        <v>480</v>
      </c>
      <c r="E167" t="s">
        <v>483</v>
      </c>
      <c r="F167" t="s">
        <v>486</v>
      </c>
    </row>
    <row r="168" spans="1:18" x14ac:dyDescent="0.2">
      <c r="B168" t="s">
        <v>479</v>
      </c>
      <c r="C168" t="s">
        <v>481</v>
      </c>
      <c r="E168" t="s">
        <v>484</v>
      </c>
      <c r="F168" t="s">
        <v>487</v>
      </c>
    </row>
    <row r="169" spans="1:18" x14ac:dyDescent="0.2">
      <c r="B169" t="s">
        <v>211</v>
      </c>
      <c r="C169" t="s">
        <v>482</v>
      </c>
      <c r="E169" t="s">
        <v>485</v>
      </c>
      <c r="F169" t="s">
        <v>488</v>
      </c>
    </row>
    <row r="171" spans="1:18" x14ac:dyDescent="0.2">
      <c r="A171" s="7" t="s">
        <v>976</v>
      </c>
      <c r="B171" t="s">
        <v>924</v>
      </c>
      <c r="C171" s="3"/>
      <c r="D171" s="3"/>
    </row>
    <row r="172" spans="1:18" x14ac:dyDescent="0.2">
      <c r="A172" s="7" t="s">
        <v>977</v>
      </c>
      <c r="B172" s="44" t="s">
        <v>434</v>
      </c>
      <c r="C172" s="3"/>
      <c r="D172" s="3"/>
    </row>
    <row r="173" spans="1:18" x14ac:dyDescent="0.2">
      <c r="A173" s="7"/>
      <c r="C173" s="52" t="s">
        <v>435</v>
      </c>
      <c r="D173" s="52" t="s">
        <v>318</v>
      </c>
      <c r="E173" s="77" t="s">
        <v>266</v>
      </c>
      <c r="F173" s="47" t="s">
        <v>277</v>
      </c>
      <c r="G173" s="7" t="s">
        <v>67</v>
      </c>
      <c r="H173" s="47" t="s">
        <v>278</v>
      </c>
      <c r="I173" s="77" t="s">
        <v>267</v>
      </c>
      <c r="J173" s="77" t="s">
        <v>279</v>
      </c>
      <c r="K173" s="77" t="s">
        <v>214</v>
      </c>
      <c r="L173" s="77" t="s">
        <v>903</v>
      </c>
      <c r="M173" t="s">
        <v>277</v>
      </c>
      <c r="N173" s="77" t="s">
        <v>904</v>
      </c>
      <c r="O173" s="47" t="s">
        <v>278</v>
      </c>
      <c r="P173" s="77" t="s">
        <v>902</v>
      </c>
      <c r="Q173" s="77" t="s">
        <v>905</v>
      </c>
      <c r="R173" t="s">
        <v>456</v>
      </c>
    </row>
    <row r="174" spans="1:18" x14ac:dyDescent="0.2">
      <c r="A174" s="7"/>
      <c r="B174" t="s">
        <v>842</v>
      </c>
      <c r="C174" s="3">
        <v>13.6</v>
      </c>
      <c r="D174" s="3"/>
      <c r="E174" s="45">
        <f t="shared" ref="E174:E179" si="0">C174/2*1000</f>
        <v>6800</v>
      </c>
      <c r="G174">
        <v>207</v>
      </c>
      <c r="I174" s="45">
        <f t="shared" ref="I174:I179" si="1">G174/E174</f>
        <v>3.0441176470588235E-2</v>
      </c>
      <c r="J174" s="45"/>
      <c r="K174" s="45">
        <f>(I174+I175+I176+J177+I179)/5</f>
        <v>1.0064422741298734E-2</v>
      </c>
      <c r="L174">
        <f t="shared" ref="L174:L179" si="2">C174*1000000</f>
        <v>13600000</v>
      </c>
      <c r="N174">
        <f t="shared" ref="N174:N179" si="3">G174*1000000</f>
        <v>207000000</v>
      </c>
      <c r="P174">
        <f>N174/L174</f>
        <v>15.220588235294118</v>
      </c>
      <c r="R174" t="s">
        <v>457</v>
      </c>
    </row>
    <row r="175" spans="1:18" x14ac:dyDescent="0.2">
      <c r="A175" s="7"/>
      <c r="B175" t="s">
        <v>436</v>
      </c>
      <c r="C175" s="3">
        <v>25.9</v>
      </c>
      <c r="D175" s="3">
        <f>C175+C177+C178</f>
        <v>56</v>
      </c>
      <c r="E175" s="45">
        <f t="shared" si="0"/>
        <v>12950</v>
      </c>
      <c r="G175">
        <v>93.7</v>
      </c>
      <c r="I175" s="45">
        <f t="shared" si="1"/>
        <v>7.2355212355212362E-3</v>
      </c>
      <c r="J175" s="45"/>
      <c r="L175">
        <f t="shared" si="2"/>
        <v>25900000</v>
      </c>
      <c r="N175">
        <f t="shared" si="3"/>
        <v>93700000</v>
      </c>
      <c r="P175">
        <f>N175/L175</f>
        <v>3.6177606177606179</v>
      </c>
    </row>
    <row r="176" spans="1:18" x14ac:dyDescent="0.2">
      <c r="A176" s="7"/>
      <c r="B176" t="s">
        <v>844</v>
      </c>
      <c r="C176" s="3">
        <v>232.9</v>
      </c>
      <c r="D176" s="3"/>
      <c r="E176" s="45">
        <f t="shared" si="0"/>
        <v>116450</v>
      </c>
      <c r="G176">
        <v>241</v>
      </c>
      <c r="I176" s="45">
        <f t="shared" si="1"/>
        <v>2.0695577501073422E-3</v>
      </c>
      <c r="J176" s="45"/>
      <c r="K176" s="45"/>
      <c r="L176">
        <f t="shared" si="2"/>
        <v>232900000</v>
      </c>
      <c r="N176">
        <f t="shared" si="3"/>
        <v>241000000</v>
      </c>
      <c r="P176">
        <f>N176/L176</f>
        <v>1.0347788750536711</v>
      </c>
      <c r="R176" t="s">
        <v>458</v>
      </c>
    </row>
    <row r="177" spans="1:18" x14ac:dyDescent="0.2">
      <c r="A177" s="7"/>
      <c r="B177" t="s">
        <v>455</v>
      </c>
      <c r="C177" s="3">
        <v>25.5</v>
      </c>
      <c r="D177" s="3"/>
      <c r="E177" s="45">
        <f t="shared" si="0"/>
        <v>12750</v>
      </c>
      <c r="G177">
        <v>38.4</v>
      </c>
      <c r="I177" s="45">
        <f t="shared" si="1"/>
        <v>3.0117647058823527E-3</v>
      </c>
      <c r="J177" s="45">
        <f>H178/F178</f>
        <v>3.2425249169435212E-3</v>
      </c>
      <c r="K177" s="45"/>
      <c r="L177">
        <f t="shared" si="2"/>
        <v>25500000</v>
      </c>
      <c r="N177">
        <f t="shared" si="3"/>
        <v>38400000</v>
      </c>
      <c r="R177" t="s">
        <v>459</v>
      </c>
    </row>
    <row r="178" spans="1:18" x14ac:dyDescent="0.2">
      <c r="B178" t="s">
        <v>454</v>
      </c>
      <c r="C178" s="3">
        <v>4.5999999999999996</v>
      </c>
      <c r="D178" s="3"/>
      <c r="E178" s="45">
        <f t="shared" si="0"/>
        <v>2300</v>
      </c>
      <c r="F178">
        <v>15050</v>
      </c>
      <c r="G178">
        <v>10.4</v>
      </c>
      <c r="H178">
        <v>48.8</v>
      </c>
      <c r="I178" s="45">
        <f t="shared" si="1"/>
        <v>4.5217391304347831E-3</v>
      </c>
      <c r="J178" s="45"/>
      <c r="K178" s="45"/>
      <c r="L178">
        <f t="shared" si="2"/>
        <v>4600000</v>
      </c>
      <c r="M178">
        <f>L178+L177</f>
        <v>30100000</v>
      </c>
      <c r="N178">
        <f t="shared" si="3"/>
        <v>10400000</v>
      </c>
      <c r="O178">
        <f>N178+N177</f>
        <v>48800000</v>
      </c>
      <c r="Q178">
        <f>O178/M178</f>
        <v>1.6212624584717608</v>
      </c>
    </row>
    <row r="179" spans="1:18" x14ac:dyDescent="0.2">
      <c r="B179" t="s">
        <v>437</v>
      </c>
      <c r="C179" s="3">
        <v>2.1</v>
      </c>
      <c r="D179" s="3"/>
      <c r="E179" s="45">
        <f t="shared" si="0"/>
        <v>1050</v>
      </c>
      <c r="G179">
        <v>7.7</v>
      </c>
      <c r="I179" s="45">
        <f t="shared" si="1"/>
        <v>7.3333333333333332E-3</v>
      </c>
      <c r="J179" s="45"/>
      <c r="K179" s="45"/>
      <c r="L179">
        <f t="shared" si="2"/>
        <v>2100000</v>
      </c>
      <c r="N179">
        <f t="shared" si="3"/>
        <v>7700000</v>
      </c>
      <c r="P179">
        <f>N179/L179</f>
        <v>3.6666666666666665</v>
      </c>
    </row>
    <row r="180" spans="1:18" x14ac:dyDescent="0.2">
      <c r="C180" s="3"/>
      <c r="D180" s="3"/>
      <c r="E180" s="45"/>
      <c r="I180" s="45"/>
      <c r="J180" s="45"/>
      <c r="K180" s="45"/>
    </row>
    <row r="181" spans="1:18" x14ac:dyDescent="0.2">
      <c r="B181" t="s">
        <v>316</v>
      </c>
      <c r="C181" s="3"/>
      <c r="D181" s="3"/>
    </row>
    <row r="182" spans="1:18" x14ac:dyDescent="0.2">
      <c r="B182" t="s">
        <v>317</v>
      </c>
    </row>
    <row r="183" spans="1:18" x14ac:dyDescent="0.2">
      <c r="B183">
        <v>46</v>
      </c>
      <c r="J183" s="3"/>
    </row>
    <row r="184" spans="1:18" x14ac:dyDescent="0.2">
      <c r="J184" s="3"/>
    </row>
    <row r="185" spans="1:18" x14ac:dyDescent="0.2">
      <c r="A185" s="7" t="s">
        <v>976</v>
      </c>
      <c r="B185" s="2" t="s">
        <v>940</v>
      </c>
      <c r="J185" s="3"/>
    </row>
    <row r="186" spans="1:18" x14ac:dyDescent="0.2">
      <c r="A186" s="7" t="s">
        <v>977</v>
      </c>
      <c r="B186" s="2" t="s">
        <v>941</v>
      </c>
      <c r="J186" s="3"/>
    </row>
    <row r="187" spans="1:18" x14ac:dyDescent="0.2">
      <c r="B187" s="2" t="s">
        <v>942</v>
      </c>
      <c r="J187" s="3"/>
    </row>
    <row r="188" spans="1:18" x14ac:dyDescent="0.2">
      <c r="B188" s="2" t="s">
        <v>943</v>
      </c>
      <c r="J188" s="3"/>
    </row>
    <row r="189" spans="1:18" x14ac:dyDescent="0.2">
      <c r="B189" s="2" t="s">
        <v>944</v>
      </c>
      <c r="J189" s="3"/>
    </row>
    <row r="190" spans="1:18" x14ac:dyDescent="0.2">
      <c r="B190" s="2" t="s">
        <v>945</v>
      </c>
      <c r="J190" s="3"/>
    </row>
    <row r="191" spans="1:18" x14ac:dyDescent="0.2">
      <c r="B191" s="2" t="s">
        <v>946</v>
      </c>
      <c r="J191" s="3"/>
    </row>
    <row r="192" spans="1:18" x14ac:dyDescent="0.2">
      <c r="B192" s="2" t="s">
        <v>947</v>
      </c>
      <c r="J192" s="3"/>
    </row>
    <row r="193" spans="2:10" x14ac:dyDescent="0.2">
      <c r="B193" s="2" t="s">
        <v>948</v>
      </c>
      <c r="J193" s="3"/>
    </row>
    <row r="194" spans="2:10" x14ac:dyDescent="0.2">
      <c r="B194" s="2" t="s">
        <v>949</v>
      </c>
      <c r="J194" s="3"/>
    </row>
    <row r="195" spans="2:10" x14ac:dyDescent="0.2">
      <c r="B195" s="2" t="s">
        <v>950</v>
      </c>
      <c r="J195" s="3"/>
    </row>
    <row r="196" spans="2:10" x14ac:dyDescent="0.2">
      <c r="B196" s="2" t="s">
        <v>951</v>
      </c>
      <c r="J196" s="3"/>
    </row>
    <row r="197" spans="2:10" x14ac:dyDescent="0.2">
      <c r="B197" s="2" t="s">
        <v>952</v>
      </c>
      <c r="J197" s="3"/>
    </row>
    <row r="198" spans="2:10" ht="15" customHeight="1" x14ac:dyDescent="0.2">
      <c r="B198" s="2" t="s">
        <v>953</v>
      </c>
      <c r="J198" s="3"/>
    </row>
    <row r="199" spans="2:10" x14ac:dyDescent="0.2">
      <c r="B199" s="2" t="s">
        <v>954</v>
      </c>
      <c r="J199" s="3"/>
    </row>
    <row r="200" spans="2:10" x14ac:dyDescent="0.2">
      <c r="B200" s="2" t="s">
        <v>955</v>
      </c>
      <c r="J200" s="3"/>
    </row>
    <row r="201" spans="2:10" x14ac:dyDescent="0.2">
      <c r="B201" s="2" t="s">
        <v>956</v>
      </c>
      <c r="I201" s="2"/>
      <c r="J201" s="3"/>
    </row>
    <row r="202" spans="2:10" x14ac:dyDescent="0.2">
      <c r="B202" s="2" t="s">
        <v>957</v>
      </c>
      <c r="I202" s="2"/>
      <c r="J202" s="3"/>
    </row>
    <row r="203" spans="2:10" x14ac:dyDescent="0.2">
      <c r="I203" s="2"/>
      <c r="J203" s="3"/>
    </row>
    <row r="204" spans="2:10" x14ac:dyDescent="0.2">
      <c r="B204" s="7" t="s">
        <v>2</v>
      </c>
      <c r="C204" t="s">
        <v>320</v>
      </c>
    </row>
    <row r="205" spans="2:10" x14ac:dyDescent="0.2">
      <c r="C205" t="s">
        <v>319</v>
      </c>
    </row>
    <row r="206" spans="2:10" x14ac:dyDescent="0.2">
      <c r="C206" t="s">
        <v>321</v>
      </c>
    </row>
    <row r="207" spans="2:10" x14ac:dyDescent="0.2">
      <c r="C207" t="s">
        <v>322</v>
      </c>
    </row>
    <row r="208" spans="2:10" x14ac:dyDescent="0.2">
      <c r="C208" t="s">
        <v>323</v>
      </c>
    </row>
    <row r="209" spans="3:11" x14ac:dyDescent="0.2">
      <c r="C209" t="s">
        <v>324</v>
      </c>
      <c r="D209">
        <f>5.8*1.36/0.465</f>
        <v>16.963440860215051</v>
      </c>
    </row>
    <row r="210" spans="3:11" x14ac:dyDescent="0.2">
      <c r="C210" t="s">
        <v>325</v>
      </c>
      <c r="D210">
        <f>B183-D209</f>
        <v>29.036559139784949</v>
      </c>
    </row>
    <row r="211" spans="3:11" x14ac:dyDescent="0.2">
      <c r="C211" s="45" t="s">
        <v>328</v>
      </c>
      <c r="D211">
        <v>11</v>
      </c>
      <c r="K211">
        <f>0.000405*330</f>
        <v>0.13364999999999999</v>
      </c>
    </row>
    <row r="212" spans="3:11" x14ac:dyDescent="0.2">
      <c r="C212" t="s">
        <v>326</v>
      </c>
      <c r="D212">
        <f>D210*D211</f>
        <v>319.40215053763444</v>
      </c>
    </row>
    <row r="213" spans="3:11" x14ac:dyDescent="0.2">
      <c r="C213" t="s">
        <v>327</v>
      </c>
      <c r="D213">
        <f>0.000405*D212*1000</f>
        <v>129.35787096774192</v>
      </c>
    </row>
    <row r="214" spans="3:11" x14ac:dyDescent="0.2">
      <c r="C214" t="s">
        <v>329</v>
      </c>
      <c r="D214" s="3">
        <f>C176-D213</f>
        <v>103.54212903225809</v>
      </c>
    </row>
    <row r="215" spans="3:11" x14ac:dyDescent="0.2">
      <c r="C215" t="s">
        <v>330</v>
      </c>
      <c r="D215">
        <f>D175/D214</f>
        <v>0.54084265528820108</v>
      </c>
    </row>
  </sheetData>
  <phoneticPr fontId="2" type="noConversion"/>
  <pageMargins left="0.78740157499999996" right="0.78740157499999996" top="0.984251969" bottom="0.984251969" header="0.5" footer="0.5"/>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workbookViewId="0">
      <selection activeCell="C17" sqref="C17"/>
    </sheetView>
  </sheetViews>
  <sheetFormatPr baseColWidth="10" defaultRowHeight="12.75" x14ac:dyDescent="0.2"/>
  <cols>
    <col min="1" max="256" width="9.140625" customWidth="1"/>
  </cols>
  <sheetData>
    <row r="1" spans="1:19" x14ac:dyDescent="0.2">
      <c r="A1" s="7" t="s">
        <v>976</v>
      </c>
      <c r="B1" t="s">
        <v>924</v>
      </c>
      <c r="C1" s="3"/>
      <c r="D1" s="3"/>
      <c r="E1" s="3"/>
    </row>
    <row r="2" spans="1:19" x14ac:dyDescent="0.2">
      <c r="A2" s="7" t="s">
        <v>977</v>
      </c>
      <c r="B2" s="44" t="s">
        <v>434</v>
      </c>
      <c r="C2" s="3"/>
      <c r="D2" s="3"/>
      <c r="E2" s="3"/>
    </row>
    <row r="3" spans="1:19" x14ac:dyDescent="0.2">
      <c r="A3" s="7"/>
      <c r="C3" s="52" t="s">
        <v>435</v>
      </c>
      <c r="D3" s="52" t="s">
        <v>898</v>
      </c>
      <c r="E3" s="52" t="s">
        <v>318</v>
      </c>
      <c r="F3" s="77" t="s">
        <v>266</v>
      </c>
      <c r="G3" s="47" t="s">
        <v>277</v>
      </c>
      <c r="H3" s="7" t="s">
        <v>67</v>
      </c>
      <c r="I3" s="47" t="s">
        <v>278</v>
      </c>
      <c r="J3" s="77" t="s">
        <v>267</v>
      </c>
      <c r="K3" s="77" t="s">
        <v>279</v>
      </c>
      <c r="L3" s="77" t="s">
        <v>214</v>
      </c>
      <c r="M3" s="77" t="s">
        <v>903</v>
      </c>
      <c r="N3" t="s">
        <v>277</v>
      </c>
      <c r="O3" s="77" t="s">
        <v>904</v>
      </c>
      <c r="P3" s="47" t="s">
        <v>278</v>
      </c>
      <c r="Q3" s="77" t="s">
        <v>902</v>
      </c>
      <c r="R3" s="77" t="s">
        <v>905</v>
      </c>
      <c r="S3" t="s">
        <v>456</v>
      </c>
    </row>
    <row r="4" spans="1:19" x14ac:dyDescent="0.2">
      <c r="A4" s="7"/>
      <c r="B4" t="s">
        <v>842</v>
      </c>
      <c r="C4" s="3">
        <v>13.6</v>
      </c>
      <c r="D4" s="3"/>
      <c r="E4" s="3"/>
      <c r="F4" s="45">
        <f t="shared" ref="F4:F9" si="0">C4/2*1000</f>
        <v>6800</v>
      </c>
      <c r="H4">
        <v>207</v>
      </c>
      <c r="J4" s="45">
        <f t="shared" ref="J4:J9" si="1">H4/F4</f>
        <v>3.0441176470588235E-2</v>
      </c>
      <c r="K4" s="45"/>
      <c r="L4" s="45">
        <f>(J4+J5+J6+K7+J9)/5</f>
        <v>1.0064422741298734E-2</v>
      </c>
      <c r="M4">
        <f t="shared" ref="M4:M9" si="2">C4*1000000</f>
        <v>13600000</v>
      </c>
      <c r="O4">
        <f t="shared" ref="O4:O9" si="3">H4*1000000</f>
        <v>207000000</v>
      </c>
      <c r="Q4">
        <f>O4/M4</f>
        <v>15.220588235294118</v>
      </c>
      <c r="S4" t="s">
        <v>457</v>
      </c>
    </row>
    <row r="5" spans="1:19" x14ac:dyDescent="0.2">
      <c r="A5" s="7"/>
      <c r="B5" t="s">
        <v>436</v>
      </c>
      <c r="C5" s="3">
        <v>25.9</v>
      </c>
      <c r="D5" s="3"/>
      <c r="E5" s="3">
        <f>C5+C7+C8</f>
        <v>56</v>
      </c>
      <c r="F5" s="45">
        <f t="shared" si="0"/>
        <v>12950</v>
      </c>
      <c r="H5">
        <v>93.7</v>
      </c>
      <c r="J5" s="45">
        <f t="shared" si="1"/>
        <v>7.2355212355212362E-3</v>
      </c>
      <c r="K5" s="45"/>
      <c r="M5">
        <f t="shared" si="2"/>
        <v>25900000</v>
      </c>
      <c r="O5">
        <f t="shared" si="3"/>
        <v>93700000</v>
      </c>
      <c r="Q5">
        <f>O5/M5</f>
        <v>3.6177606177606179</v>
      </c>
    </row>
    <row r="6" spans="1:19" x14ac:dyDescent="0.2">
      <c r="A6" s="7"/>
      <c r="B6" t="s">
        <v>844</v>
      </c>
      <c r="C6" s="3">
        <v>232.9</v>
      </c>
      <c r="D6" s="3"/>
      <c r="E6" s="3"/>
      <c r="F6" s="45">
        <f t="shared" si="0"/>
        <v>116450</v>
      </c>
      <c r="H6">
        <v>241</v>
      </c>
      <c r="J6" s="45">
        <f t="shared" si="1"/>
        <v>2.0695577501073422E-3</v>
      </c>
      <c r="K6" s="45"/>
      <c r="L6" s="45"/>
      <c r="M6">
        <f t="shared" si="2"/>
        <v>232900000</v>
      </c>
      <c r="O6">
        <f t="shared" si="3"/>
        <v>241000000</v>
      </c>
      <c r="Q6">
        <f>O6/M6</f>
        <v>1.0347788750536711</v>
      </c>
      <c r="S6" t="s">
        <v>458</v>
      </c>
    </row>
    <row r="7" spans="1:19" x14ac:dyDescent="0.2">
      <c r="A7" s="7"/>
      <c r="B7" t="s">
        <v>455</v>
      </c>
      <c r="C7" s="3">
        <v>25.5</v>
      </c>
      <c r="D7" s="3"/>
      <c r="E7" s="3"/>
      <c r="F7" s="45">
        <f t="shared" si="0"/>
        <v>12750</v>
      </c>
      <c r="H7">
        <v>38.4</v>
      </c>
      <c r="J7" s="45">
        <f t="shared" si="1"/>
        <v>3.0117647058823527E-3</v>
      </c>
      <c r="K7" s="45">
        <f>I8/G8</f>
        <v>3.2425249169435212E-3</v>
      </c>
      <c r="L7" s="45"/>
      <c r="M7">
        <f t="shared" si="2"/>
        <v>25500000</v>
      </c>
      <c r="O7">
        <f t="shared" si="3"/>
        <v>38400000</v>
      </c>
      <c r="S7" t="s">
        <v>459</v>
      </c>
    </row>
    <row r="8" spans="1:19" x14ac:dyDescent="0.2">
      <c r="B8" t="s">
        <v>454</v>
      </c>
      <c r="C8" s="3">
        <v>4.5999999999999996</v>
      </c>
      <c r="D8" s="3">
        <f>C8+C7</f>
        <v>30.1</v>
      </c>
      <c r="E8" s="3"/>
      <c r="F8" s="45">
        <f t="shared" si="0"/>
        <v>2300</v>
      </c>
      <c r="G8">
        <v>15050</v>
      </c>
      <c r="H8">
        <v>10.4</v>
      </c>
      <c r="I8">
        <v>48.8</v>
      </c>
      <c r="J8" s="45">
        <f t="shared" si="1"/>
        <v>4.5217391304347831E-3</v>
      </c>
      <c r="K8" s="45"/>
      <c r="L8" s="45"/>
      <c r="M8">
        <f t="shared" si="2"/>
        <v>4600000</v>
      </c>
      <c r="N8">
        <f>M8+M7</f>
        <v>30100000</v>
      </c>
      <c r="O8">
        <f t="shared" si="3"/>
        <v>10400000</v>
      </c>
      <c r="P8">
        <f>O8+O7</f>
        <v>48800000</v>
      </c>
      <c r="R8">
        <f>P8/N8</f>
        <v>1.6212624584717608</v>
      </c>
    </row>
    <row r="9" spans="1:19" x14ac:dyDescent="0.2">
      <c r="B9" t="s">
        <v>437</v>
      </c>
      <c r="C9" s="3">
        <v>2.1</v>
      </c>
      <c r="D9" s="3"/>
      <c r="E9" s="3"/>
      <c r="F9" s="45">
        <f t="shared" si="0"/>
        <v>1050</v>
      </c>
      <c r="H9">
        <v>7.7</v>
      </c>
      <c r="J9" s="45">
        <f t="shared" si="1"/>
        <v>7.3333333333333332E-3</v>
      </c>
      <c r="K9" s="45"/>
      <c r="L9" s="45"/>
      <c r="M9">
        <f t="shared" si="2"/>
        <v>2100000</v>
      </c>
      <c r="O9">
        <f t="shared" si="3"/>
        <v>7700000</v>
      </c>
      <c r="Q9">
        <f>O9/M9</f>
        <v>3.6666666666666665</v>
      </c>
    </row>
    <row r="10" spans="1:19" x14ac:dyDescent="0.2">
      <c r="C10" s="3"/>
      <c r="D10" s="3"/>
      <c r="E10" s="3"/>
      <c r="F10" s="45"/>
      <c r="J10" s="45"/>
      <c r="K10" s="45"/>
      <c r="L10" s="45"/>
    </row>
    <row r="11" spans="1:19" x14ac:dyDescent="0.2">
      <c r="B11" t="s">
        <v>316</v>
      </c>
      <c r="C11" s="3"/>
      <c r="D11" s="3"/>
      <c r="E11" s="3"/>
    </row>
    <row r="12" spans="1:19" x14ac:dyDescent="0.2">
      <c r="B12" t="s">
        <v>317</v>
      </c>
    </row>
    <row r="13" spans="1:19" x14ac:dyDescent="0.2">
      <c r="B13">
        <v>46</v>
      </c>
    </row>
    <row r="15" spans="1:19" x14ac:dyDescent="0.2">
      <c r="B15" t="s">
        <v>226</v>
      </c>
    </row>
    <row r="16" spans="1:19" x14ac:dyDescent="0.2">
      <c r="B16" t="s">
        <v>896</v>
      </c>
      <c r="C16" t="s">
        <v>897</v>
      </c>
    </row>
    <row r="17" spans="3:3" x14ac:dyDescent="0.2">
      <c r="C17">
        <f>D8/E5</f>
        <v>0.53749999999999998</v>
      </c>
    </row>
  </sheetData>
  <phoneticPr fontId="2" type="noConversion"/>
  <pageMargins left="0.78740157499999996" right="0.78740157499999996" top="0.984251969" bottom="0.984251969"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B13" sqref="B13"/>
    </sheetView>
  </sheetViews>
  <sheetFormatPr baseColWidth="10" defaultRowHeight="12.75" x14ac:dyDescent="0.2"/>
  <cols>
    <col min="1" max="256" width="9.140625" customWidth="1"/>
  </cols>
  <sheetData>
    <row r="1" spans="1:2" x14ac:dyDescent="0.2">
      <c r="A1" s="7" t="s">
        <v>976</v>
      </c>
      <c r="B1" t="s">
        <v>41</v>
      </c>
    </row>
    <row r="2" spans="1:2" x14ac:dyDescent="0.2">
      <c r="A2" s="7" t="s">
        <v>977</v>
      </c>
      <c r="B2" t="s">
        <v>302</v>
      </c>
    </row>
    <row r="4" spans="1:2" x14ac:dyDescent="0.2">
      <c r="A4" s="7" t="s">
        <v>976</v>
      </c>
      <c r="B4" t="s">
        <v>332</v>
      </c>
    </row>
    <row r="5" spans="1:2" x14ac:dyDescent="0.2">
      <c r="A5" s="7" t="s">
        <v>977</v>
      </c>
      <c r="B5" t="s">
        <v>333</v>
      </c>
    </row>
    <row r="7" spans="1:2" x14ac:dyDescent="0.2">
      <c r="A7" s="7" t="s">
        <v>976</v>
      </c>
      <c r="B7" t="s">
        <v>334</v>
      </c>
    </row>
    <row r="8" spans="1:2" x14ac:dyDescent="0.2">
      <c r="A8" s="7" t="s">
        <v>977</v>
      </c>
      <c r="B8" t="s">
        <v>335</v>
      </c>
    </row>
    <row r="10" spans="1:2" x14ac:dyDescent="0.2">
      <c r="A10" s="7" t="s">
        <v>976</v>
      </c>
      <c r="B10" t="s">
        <v>360</v>
      </c>
    </row>
    <row r="11" spans="1:2" x14ac:dyDescent="0.2">
      <c r="A11" s="7" t="s">
        <v>977</v>
      </c>
      <c r="B11" t="s">
        <v>361</v>
      </c>
    </row>
    <row r="13" spans="1:2" x14ac:dyDescent="0.2">
      <c r="A13" s="7" t="s">
        <v>976</v>
      </c>
      <c r="B13" t="s">
        <v>46</v>
      </c>
    </row>
    <row r="14" spans="1:2" x14ac:dyDescent="0.2">
      <c r="A14" s="7" t="s">
        <v>977</v>
      </c>
      <c r="B14" t="s">
        <v>422</v>
      </c>
    </row>
  </sheetData>
  <phoneticPr fontId="2" type="noConversion"/>
  <pageMargins left="0.78740157499999996" right="0.78740157499999996" top="0.984251969" bottom="0.984251969"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topLeftCell="A11" workbookViewId="0">
      <selection activeCell="L32" sqref="L32"/>
    </sheetView>
  </sheetViews>
  <sheetFormatPr baseColWidth="10" defaultRowHeight="12.75" x14ac:dyDescent="0.2"/>
  <cols>
    <col min="1" max="256" width="9.140625" customWidth="1"/>
  </cols>
  <sheetData>
    <row r="1" spans="1:2" x14ac:dyDescent="0.2">
      <c r="A1" s="7" t="s">
        <v>976</v>
      </c>
      <c r="B1" t="s">
        <v>304</v>
      </c>
    </row>
    <row r="2" spans="1:2" x14ac:dyDescent="0.2">
      <c r="A2" s="7" t="s">
        <v>977</v>
      </c>
      <c r="B2" t="s">
        <v>305</v>
      </c>
    </row>
    <row r="3" spans="1:2" x14ac:dyDescent="0.2">
      <c r="B3" t="s">
        <v>307</v>
      </c>
    </row>
    <row r="5" spans="1:2" x14ac:dyDescent="0.2">
      <c r="A5" s="7" t="s">
        <v>2</v>
      </c>
      <c r="B5" t="s">
        <v>306</v>
      </c>
    </row>
    <row r="6" spans="1:2" x14ac:dyDescent="0.2">
      <c r="A6" s="7"/>
      <c r="B6" t="s">
        <v>308</v>
      </c>
    </row>
    <row r="9" spans="1:2" x14ac:dyDescent="0.2">
      <c r="A9" s="7" t="s">
        <v>976</v>
      </c>
      <c r="B9" t="s">
        <v>846</v>
      </c>
    </row>
    <row r="10" spans="1:2" x14ac:dyDescent="0.2">
      <c r="A10" s="7" t="s">
        <v>977</v>
      </c>
      <c r="B10" t="s">
        <v>848</v>
      </c>
    </row>
    <row r="13" spans="1:2" x14ac:dyDescent="0.2">
      <c r="A13" s="7" t="s">
        <v>976</v>
      </c>
      <c r="B13" t="s">
        <v>847</v>
      </c>
    </row>
    <row r="14" spans="1:2" x14ac:dyDescent="0.2">
      <c r="A14" s="7" t="s">
        <v>977</v>
      </c>
      <c r="B14" t="s">
        <v>849</v>
      </c>
    </row>
    <row r="15" spans="1:2" x14ac:dyDescent="0.2">
      <c r="B15" t="s">
        <v>850</v>
      </c>
    </row>
    <row r="17" spans="1:2" x14ac:dyDescent="0.2">
      <c r="B17" t="s">
        <v>851</v>
      </c>
    </row>
    <row r="19" spans="1:2" x14ac:dyDescent="0.2">
      <c r="A19" s="7" t="s">
        <v>976</v>
      </c>
      <c r="B19" t="s">
        <v>46</v>
      </c>
    </row>
    <row r="20" spans="1:2" x14ac:dyDescent="0.2">
      <c r="A20" s="7" t="s">
        <v>977</v>
      </c>
      <c r="B20" t="s">
        <v>845</v>
      </c>
    </row>
    <row r="46" spans="1:4" x14ac:dyDescent="0.2">
      <c r="A46" s="7" t="s">
        <v>976</v>
      </c>
      <c r="B46" s="2" t="s">
        <v>852</v>
      </c>
    </row>
    <row r="47" spans="1:4" x14ac:dyDescent="0.2">
      <c r="A47" s="7" t="s">
        <v>977</v>
      </c>
      <c r="B47" t="s">
        <v>853</v>
      </c>
    </row>
    <row r="48" spans="1:4" x14ac:dyDescent="0.2">
      <c r="B48" t="s">
        <v>854</v>
      </c>
      <c r="D48" t="s">
        <v>868</v>
      </c>
    </row>
    <row r="50" spans="2:6" x14ac:dyDescent="0.2">
      <c r="B50" t="s">
        <v>855</v>
      </c>
      <c r="C50" t="s">
        <v>117</v>
      </c>
      <c r="D50" t="s">
        <v>119</v>
      </c>
      <c r="E50" t="s">
        <v>856</v>
      </c>
      <c r="F50" t="s">
        <v>857</v>
      </c>
    </row>
    <row r="51" spans="2:6" x14ac:dyDescent="0.2">
      <c r="B51" t="s">
        <v>858</v>
      </c>
      <c r="C51">
        <v>-0.03</v>
      </c>
      <c r="D51">
        <v>5.1999999999999998E-2</v>
      </c>
      <c r="E51">
        <v>0.78</v>
      </c>
      <c r="F51" s="51" t="s">
        <v>859</v>
      </c>
    </row>
    <row r="52" spans="2:6" x14ac:dyDescent="0.2">
      <c r="B52" t="s">
        <v>860</v>
      </c>
      <c r="C52">
        <v>-0.81</v>
      </c>
      <c r="D52">
        <v>8.2000000000000003E-2</v>
      </c>
      <c r="E52">
        <v>0.86</v>
      </c>
      <c r="F52" s="51" t="s">
        <v>861</v>
      </c>
    </row>
    <row r="53" spans="2:6" x14ac:dyDescent="0.2">
      <c r="B53" t="s">
        <v>862</v>
      </c>
      <c r="C53">
        <v>-2.4700000000000002</v>
      </c>
      <c r="D53">
        <v>8.5999999999999993E-2</v>
      </c>
      <c r="E53">
        <v>0.92</v>
      </c>
      <c r="F53" s="51" t="s">
        <v>863</v>
      </c>
    </row>
    <row r="54" spans="2:6" x14ac:dyDescent="0.2">
      <c r="B54" t="s">
        <v>864</v>
      </c>
      <c r="C54">
        <v>-2.39</v>
      </c>
      <c r="D54">
        <v>9.8000000000000004E-2</v>
      </c>
      <c r="E54">
        <v>0.72</v>
      </c>
      <c r="F54" s="51" t="s">
        <v>865</v>
      </c>
    </row>
    <row r="55" spans="2:6" x14ac:dyDescent="0.2">
      <c r="B55" t="s">
        <v>866</v>
      </c>
      <c r="C55">
        <v>-2.02</v>
      </c>
      <c r="D55">
        <v>8.8999999999999996E-2</v>
      </c>
      <c r="E55">
        <v>0.85</v>
      </c>
      <c r="F55" s="51" t="s">
        <v>867</v>
      </c>
    </row>
  </sheetData>
  <phoneticPr fontId="2" type="noConversion"/>
  <pageMargins left="0.78740157499999996" right="0.78740157499999996" top="0.984251969" bottom="0.984251969" header="0.5" footer="0.5"/>
  <pageSetup paperSize="9"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69"/>
  <sheetViews>
    <sheetView workbookViewId="0">
      <pane xSplit="1" ySplit="3" topLeftCell="B4" activePane="bottomRight" state="frozen"/>
      <selection pane="topRight" activeCell="B1" sqref="B1"/>
      <selection pane="bottomLeft" activeCell="A4" sqref="A4"/>
      <selection pane="bottomRight" activeCell="W32" sqref="W32"/>
    </sheetView>
  </sheetViews>
  <sheetFormatPr baseColWidth="10" defaultRowHeight="12.75" x14ac:dyDescent="0.2"/>
  <cols>
    <col min="1" max="1" width="3.85546875" bestFit="1" customWidth="1"/>
    <col min="2" max="2" width="5.140625" bestFit="1" customWidth="1"/>
    <col min="3" max="3" width="5" bestFit="1" customWidth="1"/>
    <col min="4" max="4" width="8.7109375" customWidth="1"/>
    <col min="5" max="7" width="11.42578125" customWidth="1"/>
    <col min="8" max="8" width="16.28515625" customWidth="1"/>
    <col min="9" max="9" width="15.140625" customWidth="1"/>
    <col min="10" max="10" width="12.5703125" bestFit="1" customWidth="1"/>
    <col min="11" max="11" width="12.5703125" customWidth="1"/>
    <col min="12" max="19" width="11.42578125" customWidth="1"/>
    <col min="20" max="20" width="6.85546875" customWidth="1"/>
  </cols>
  <sheetData>
    <row r="1" spans="1:31" x14ac:dyDescent="0.2">
      <c r="A1" s="7" t="s">
        <v>976</v>
      </c>
      <c r="B1" t="s">
        <v>742</v>
      </c>
    </row>
    <row r="2" spans="1:31" ht="15.75" x14ac:dyDescent="0.2">
      <c r="C2" s="69" t="s">
        <v>740</v>
      </c>
    </row>
    <row r="3" spans="1:31" x14ac:dyDescent="0.2">
      <c r="A3" t="s">
        <v>721</v>
      </c>
      <c r="B3" t="s">
        <v>722</v>
      </c>
      <c r="C3" t="s">
        <v>723</v>
      </c>
      <c r="D3" t="s">
        <v>724</v>
      </c>
      <c r="E3" t="s">
        <v>725</v>
      </c>
      <c r="F3" t="s">
        <v>726</v>
      </c>
      <c r="G3" t="s">
        <v>727</v>
      </c>
      <c r="H3" t="s">
        <v>730</v>
      </c>
      <c r="I3" t="s">
        <v>728</v>
      </c>
      <c r="J3" t="s">
        <v>736</v>
      </c>
      <c r="K3" t="s">
        <v>738</v>
      </c>
    </row>
    <row r="4" spans="1:31" x14ac:dyDescent="0.2">
      <c r="A4">
        <v>12</v>
      </c>
      <c r="B4" t="s">
        <v>729</v>
      </c>
      <c r="C4">
        <v>9</v>
      </c>
      <c r="D4">
        <v>3.4</v>
      </c>
      <c r="E4">
        <v>7.62</v>
      </c>
      <c r="F4">
        <v>0.44</v>
      </c>
      <c r="G4">
        <v>10.3</v>
      </c>
      <c r="H4">
        <v>7.82</v>
      </c>
      <c r="I4" t="s">
        <v>731</v>
      </c>
      <c r="J4" t="s">
        <v>122</v>
      </c>
      <c r="K4">
        <f t="shared" ref="K4:K67" si="0">D4/2</f>
        <v>1.7</v>
      </c>
    </row>
    <row r="5" spans="1:31" x14ac:dyDescent="0.2">
      <c r="A5">
        <v>10</v>
      </c>
      <c r="B5" t="s">
        <v>729</v>
      </c>
      <c r="C5">
        <v>9</v>
      </c>
      <c r="D5">
        <v>2.8</v>
      </c>
      <c r="E5">
        <v>6.3</v>
      </c>
      <c r="F5">
        <v>0.5</v>
      </c>
      <c r="G5">
        <v>9.9</v>
      </c>
      <c r="H5">
        <v>8.44</v>
      </c>
      <c r="I5" t="s">
        <v>731</v>
      </c>
      <c r="J5" t="s">
        <v>122</v>
      </c>
      <c r="K5">
        <f t="shared" si="0"/>
        <v>1.4</v>
      </c>
      <c r="AC5" s="5">
        <v>0.1</v>
      </c>
      <c r="AD5" s="5"/>
      <c r="AE5" s="5">
        <f>$X$32/($X$33+AC5^$X$34)</f>
        <v>3.3727250552776584</v>
      </c>
    </row>
    <row r="6" spans="1:31" x14ac:dyDescent="0.2">
      <c r="A6">
        <v>20</v>
      </c>
      <c r="B6" t="s">
        <v>729</v>
      </c>
      <c r="C6">
        <v>29</v>
      </c>
      <c r="D6">
        <v>5.6</v>
      </c>
      <c r="E6">
        <v>19</v>
      </c>
      <c r="F6">
        <v>8.6</v>
      </c>
      <c r="G6">
        <v>23.4</v>
      </c>
      <c r="H6">
        <v>15</v>
      </c>
      <c r="I6" t="s">
        <v>731</v>
      </c>
      <c r="J6" t="s">
        <v>122</v>
      </c>
      <c r="K6">
        <f t="shared" si="0"/>
        <v>2.8</v>
      </c>
      <c r="AC6" s="5">
        <f>AC5+0.1</f>
        <v>0.2</v>
      </c>
      <c r="AD6" s="5"/>
      <c r="AE6" s="5">
        <f t="shared" ref="AE6:AE55" si="1">$X$32/($X$33+AC6^$X$34)</f>
        <v>4.3067187561615361</v>
      </c>
    </row>
    <row r="7" spans="1:31" x14ac:dyDescent="0.2">
      <c r="A7">
        <v>5</v>
      </c>
      <c r="B7" t="s">
        <v>729</v>
      </c>
      <c r="C7">
        <v>19</v>
      </c>
      <c r="D7">
        <v>7</v>
      </c>
      <c r="E7">
        <v>13.3</v>
      </c>
      <c r="F7">
        <v>3.13</v>
      </c>
      <c r="G7">
        <v>20.9</v>
      </c>
      <c r="H7">
        <v>23.37</v>
      </c>
      <c r="I7" t="s">
        <v>731</v>
      </c>
      <c r="J7" t="s">
        <v>122</v>
      </c>
      <c r="K7">
        <f t="shared" si="0"/>
        <v>3.5</v>
      </c>
      <c r="AC7" s="5">
        <f>AC6+0.1</f>
        <v>0.30000000000000004</v>
      </c>
      <c r="AD7" s="5"/>
      <c r="AE7" s="5">
        <f t="shared" si="1"/>
        <v>4.9699177932633098</v>
      </c>
    </row>
    <row r="8" spans="1:31" x14ac:dyDescent="0.2">
      <c r="A8">
        <v>4</v>
      </c>
      <c r="B8" t="s">
        <v>729</v>
      </c>
      <c r="C8">
        <v>19</v>
      </c>
      <c r="D8">
        <v>6.8</v>
      </c>
      <c r="E8">
        <v>13.95</v>
      </c>
      <c r="F8">
        <v>2.52</v>
      </c>
      <c r="G8">
        <v>23.2</v>
      </c>
      <c r="H8">
        <v>30.81</v>
      </c>
      <c r="I8" t="s">
        <v>731</v>
      </c>
      <c r="J8" t="s">
        <v>122</v>
      </c>
      <c r="K8">
        <f t="shared" si="0"/>
        <v>3.4</v>
      </c>
      <c r="AC8" s="5">
        <f>AC7+0.1</f>
        <v>0.4</v>
      </c>
      <c r="AD8" s="5"/>
      <c r="AE8" s="5">
        <f t="shared" si="1"/>
        <v>5.502186339475907</v>
      </c>
    </row>
    <row r="9" spans="1:31" x14ac:dyDescent="0.2">
      <c r="A9">
        <v>6</v>
      </c>
      <c r="B9" t="s">
        <v>729</v>
      </c>
      <c r="C9">
        <v>19</v>
      </c>
      <c r="D9">
        <v>7</v>
      </c>
      <c r="E9">
        <v>14.4</v>
      </c>
      <c r="F9">
        <v>3.8</v>
      </c>
      <c r="G9">
        <v>24</v>
      </c>
      <c r="H9">
        <v>38.33</v>
      </c>
      <c r="I9" t="s">
        <v>731</v>
      </c>
      <c r="J9" t="s">
        <v>122</v>
      </c>
      <c r="K9">
        <f t="shared" si="0"/>
        <v>3.5</v>
      </c>
      <c r="AC9" s="5">
        <f>AC8+0.1</f>
        <v>0.5</v>
      </c>
      <c r="AD9" s="5"/>
      <c r="AE9" s="5">
        <f t="shared" si="1"/>
        <v>5.9544573221237789</v>
      </c>
    </row>
    <row r="10" spans="1:31" x14ac:dyDescent="0.2">
      <c r="A10">
        <v>1</v>
      </c>
      <c r="B10" t="s">
        <v>729</v>
      </c>
      <c r="C10">
        <v>39</v>
      </c>
      <c r="D10">
        <v>10.6</v>
      </c>
      <c r="E10">
        <v>25.4</v>
      </c>
      <c r="F10">
        <v>10.24</v>
      </c>
      <c r="G10">
        <v>37.799999999999997</v>
      </c>
      <c r="H10">
        <v>36.590000000000003</v>
      </c>
      <c r="I10" t="s">
        <v>731</v>
      </c>
      <c r="J10" t="s">
        <v>122</v>
      </c>
      <c r="K10">
        <f t="shared" si="0"/>
        <v>5.3</v>
      </c>
      <c r="AC10" s="5">
        <f>AC9+0.5</f>
        <v>1</v>
      </c>
      <c r="AD10" s="5"/>
      <c r="AE10" s="5">
        <f t="shared" si="1"/>
        <v>7.6142131979695433</v>
      </c>
    </row>
    <row r="11" spans="1:31" x14ac:dyDescent="0.2">
      <c r="A11">
        <v>2</v>
      </c>
      <c r="B11" t="s">
        <v>729</v>
      </c>
      <c r="C11">
        <v>39</v>
      </c>
      <c r="D11">
        <v>9.8000000000000007</v>
      </c>
      <c r="E11">
        <v>26.34</v>
      </c>
      <c r="F11">
        <v>7.62</v>
      </c>
      <c r="G11">
        <v>38.200000000000003</v>
      </c>
      <c r="H11">
        <v>44.08</v>
      </c>
      <c r="I11" t="s">
        <v>731</v>
      </c>
      <c r="J11" t="s">
        <v>122</v>
      </c>
      <c r="K11">
        <f t="shared" si="0"/>
        <v>4.9000000000000004</v>
      </c>
      <c r="AC11" s="5">
        <f t="shared" ref="AC11:AC18" si="2">AC10+0.5</f>
        <v>1.5</v>
      </c>
      <c r="AD11" s="5"/>
      <c r="AE11" s="5">
        <f t="shared" si="1"/>
        <v>8.7956221762958933</v>
      </c>
    </row>
    <row r="12" spans="1:31" x14ac:dyDescent="0.2">
      <c r="A12">
        <v>21</v>
      </c>
      <c r="B12" t="s">
        <v>729</v>
      </c>
      <c r="C12">
        <v>29</v>
      </c>
      <c r="D12">
        <v>6.4</v>
      </c>
      <c r="E12">
        <v>20</v>
      </c>
      <c r="F12">
        <v>9.6</v>
      </c>
      <c r="G12">
        <v>26.6</v>
      </c>
      <c r="H12">
        <v>22.78</v>
      </c>
      <c r="I12" t="s">
        <v>731</v>
      </c>
      <c r="J12" t="s">
        <v>122</v>
      </c>
      <c r="K12">
        <f t="shared" si="0"/>
        <v>3.2</v>
      </c>
      <c r="AC12" s="5">
        <f t="shared" si="2"/>
        <v>2</v>
      </c>
      <c r="AD12" s="5"/>
      <c r="AE12" s="5">
        <f t="shared" si="1"/>
        <v>9.7455236152842364</v>
      </c>
    </row>
    <row r="13" spans="1:31" x14ac:dyDescent="0.2">
      <c r="A13">
        <v>19</v>
      </c>
      <c r="B13" t="s">
        <v>729</v>
      </c>
      <c r="C13">
        <v>29</v>
      </c>
      <c r="D13">
        <v>6.6</v>
      </c>
      <c r="E13">
        <v>17.899999999999999</v>
      </c>
      <c r="F13">
        <v>8.65</v>
      </c>
      <c r="G13">
        <v>25.5</v>
      </c>
      <c r="H13">
        <v>23</v>
      </c>
      <c r="I13" t="s">
        <v>731</v>
      </c>
      <c r="J13" t="s">
        <v>122</v>
      </c>
      <c r="K13">
        <f t="shared" si="0"/>
        <v>3.3</v>
      </c>
      <c r="AC13" s="5">
        <f t="shared" si="2"/>
        <v>2.5</v>
      </c>
      <c r="AD13" s="5"/>
      <c r="AE13" s="5">
        <f t="shared" si="1"/>
        <v>10.553872338602455</v>
      </c>
    </row>
    <row r="14" spans="1:31" x14ac:dyDescent="0.2">
      <c r="A14">
        <v>11</v>
      </c>
      <c r="B14" t="s">
        <v>729</v>
      </c>
      <c r="C14">
        <v>9</v>
      </c>
      <c r="D14">
        <v>2.6</v>
      </c>
      <c r="E14">
        <v>6.16</v>
      </c>
      <c r="F14">
        <v>0.28000000000000003</v>
      </c>
      <c r="G14">
        <v>8</v>
      </c>
      <c r="H14">
        <v>4.5999999999999996</v>
      </c>
      <c r="I14" t="s">
        <v>731</v>
      </c>
      <c r="J14" t="s">
        <v>122</v>
      </c>
      <c r="K14">
        <f t="shared" si="0"/>
        <v>1.3</v>
      </c>
      <c r="AC14" s="5">
        <f t="shared" si="2"/>
        <v>3</v>
      </c>
      <c r="AD14" s="5"/>
      <c r="AE14" s="5">
        <f t="shared" si="1"/>
        <v>11.264961942520472</v>
      </c>
    </row>
    <row r="15" spans="1:31" x14ac:dyDescent="0.2">
      <c r="A15">
        <v>23</v>
      </c>
      <c r="B15" t="s">
        <v>729</v>
      </c>
      <c r="C15">
        <v>39</v>
      </c>
      <c r="D15">
        <v>6</v>
      </c>
      <c r="E15">
        <v>20.5</v>
      </c>
      <c r="F15">
        <v>8.75</v>
      </c>
      <c r="G15">
        <v>19.8</v>
      </c>
      <c r="H15">
        <v>10.51</v>
      </c>
      <c r="I15" t="s">
        <v>731</v>
      </c>
      <c r="J15" t="s">
        <v>755</v>
      </c>
      <c r="K15">
        <f t="shared" si="0"/>
        <v>3</v>
      </c>
      <c r="AC15" s="5">
        <f t="shared" si="2"/>
        <v>3.5</v>
      </c>
      <c r="AD15" s="5"/>
      <c r="AE15" s="5">
        <f t="shared" si="1"/>
        <v>11.904299697912197</v>
      </c>
    </row>
    <row r="16" spans="1:31" x14ac:dyDescent="0.2">
      <c r="A16">
        <v>24</v>
      </c>
      <c r="B16" t="s">
        <v>729</v>
      </c>
      <c r="C16">
        <v>39</v>
      </c>
      <c r="D16">
        <v>5.2</v>
      </c>
      <c r="E16">
        <v>19.829999999999998</v>
      </c>
      <c r="F16">
        <v>10.16</v>
      </c>
      <c r="G16">
        <v>20.5</v>
      </c>
      <c r="H16">
        <v>8.4600000000000009</v>
      </c>
      <c r="I16" t="s">
        <v>731</v>
      </c>
      <c r="J16" t="s">
        <v>755</v>
      </c>
      <c r="K16">
        <f t="shared" si="0"/>
        <v>2.6</v>
      </c>
      <c r="AC16" s="5">
        <f t="shared" si="2"/>
        <v>4</v>
      </c>
      <c r="AD16" s="5"/>
      <c r="AE16" s="5">
        <f t="shared" si="1"/>
        <v>12.488090385591841</v>
      </c>
    </row>
    <row r="17" spans="1:31" x14ac:dyDescent="0.2">
      <c r="A17">
        <v>8</v>
      </c>
      <c r="B17" t="s">
        <v>729</v>
      </c>
      <c r="C17">
        <v>19</v>
      </c>
      <c r="D17">
        <v>2.8</v>
      </c>
      <c r="E17">
        <v>9.2200000000000006</v>
      </c>
      <c r="F17">
        <v>4.24</v>
      </c>
      <c r="G17">
        <v>8.8000000000000007</v>
      </c>
      <c r="H17">
        <v>1.55</v>
      </c>
      <c r="I17" t="s">
        <v>731</v>
      </c>
      <c r="J17" t="s">
        <v>755</v>
      </c>
      <c r="K17">
        <f t="shared" si="0"/>
        <v>1.4</v>
      </c>
      <c r="AC17" s="5">
        <f t="shared" si="2"/>
        <v>4.5</v>
      </c>
      <c r="AD17" s="5"/>
      <c r="AE17" s="5">
        <f t="shared" si="1"/>
        <v>13.027352338535929</v>
      </c>
    </row>
    <row r="18" spans="1:31" x14ac:dyDescent="0.2">
      <c r="A18">
        <v>9</v>
      </c>
      <c r="B18" t="s">
        <v>729</v>
      </c>
      <c r="C18">
        <v>19</v>
      </c>
      <c r="D18">
        <v>3</v>
      </c>
      <c r="E18">
        <v>10.95</v>
      </c>
      <c r="F18">
        <v>4.2300000000000004</v>
      </c>
      <c r="G18">
        <v>8.9</v>
      </c>
      <c r="H18">
        <v>2.36</v>
      </c>
      <c r="I18" t="s">
        <v>731</v>
      </c>
      <c r="J18" t="s">
        <v>755</v>
      </c>
      <c r="K18">
        <f t="shared" si="0"/>
        <v>1.5</v>
      </c>
      <c r="AC18" s="5">
        <f t="shared" si="2"/>
        <v>5</v>
      </c>
      <c r="AD18" s="5"/>
      <c r="AE18" s="5">
        <f t="shared" si="1"/>
        <v>13.529961084544464</v>
      </c>
    </row>
    <row r="19" spans="1:31" x14ac:dyDescent="0.2">
      <c r="A19">
        <v>15</v>
      </c>
      <c r="B19" t="s">
        <v>729</v>
      </c>
      <c r="C19">
        <v>9</v>
      </c>
      <c r="D19">
        <v>3</v>
      </c>
      <c r="E19">
        <v>4.7699999999999996</v>
      </c>
      <c r="F19">
        <v>0.25</v>
      </c>
      <c r="G19">
        <v>5.9</v>
      </c>
      <c r="H19">
        <v>3.44</v>
      </c>
      <c r="I19" t="s">
        <v>731</v>
      </c>
      <c r="J19" t="s">
        <v>755</v>
      </c>
      <c r="K19">
        <f t="shared" si="0"/>
        <v>1.5</v>
      </c>
      <c r="AC19" s="5">
        <f>AC18+1</f>
        <v>6</v>
      </c>
      <c r="AD19" s="5"/>
      <c r="AE19" s="5">
        <f t="shared" si="1"/>
        <v>14.447245163245116</v>
      </c>
    </row>
    <row r="20" spans="1:31" x14ac:dyDescent="0.2">
      <c r="A20">
        <v>13</v>
      </c>
      <c r="B20" t="s">
        <v>729</v>
      </c>
      <c r="C20">
        <v>9</v>
      </c>
      <c r="D20">
        <v>2.4</v>
      </c>
      <c r="E20">
        <v>4.3</v>
      </c>
      <c r="F20">
        <v>0.24</v>
      </c>
      <c r="G20">
        <v>4.2</v>
      </c>
      <c r="H20">
        <v>2.17</v>
      </c>
      <c r="I20" t="s">
        <v>731</v>
      </c>
      <c r="J20" t="s">
        <v>755</v>
      </c>
      <c r="K20">
        <f t="shared" si="0"/>
        <v>1.2</v>
      </c>
      <c r="AC20" s="5">
        <f>AC19+1</f>
        <v>7</v>
      </c>
      <c r="AD20" s="5"/>
      <c r="AE20" s="5">
        <f t="shared" si="1"/>
        <v>15.27258712642632</v>
      </c>
    </row>
    <row r="21" spans="1:31" x14ac:dyDescent="0.2">
      <c r="A21">
        <v>14</v>
      </c>
      <c r="B21" t="s">
        <v>729</v>
      </c>
      <c r="C21">
        <v>9</v>
      </c>
      <c r="D21">
        <v>2</v>
      </c>
      <c r="E21">
        <v>4</v>
      </c>
      <c r="F21">
        <v>0.36</v>
      </c>
      <c r="G21">
        <v>5.0999999999999996</v>
      </c>
      <c r="H21">
        <v>2.76</v>
      </c>
      <c r="I21" t="s">
        <v>731</v>
      </c>
      <c r="J21" t="s">
        <v>755</v>
      </c>
      <c r="K21">
        <f t="shared" si="0"/>
        <v>1</v>
      </c>
      <c r="AC21" s="5">
        <f>AC20+1</f>
        <v>8</v>
      </c>
      <c r="AD21" s="5"/>
      <c r="AE21" s="5">
        <f t="shared" si="1"/>
        <v>16.026731238471328</v>
      </c>
    </row>
    <row r="22" spans="1:31" x14ac:dyDescent="0.2">
      <c r="A22">
        <v>17</v>
      </c>
      <c r="B22" t="s">
        <v>729</v>
      </c>
      <c r="C22">
        <v>29</v>
      </c>
      <c r="D22">
        <v>4.2</v>
      </c>
      <c r="E22">
        <v>15.9</v>
      </c>
      <c r="F22">
        <v>8.39</v>
      </c>
      <c r="G22">
        <v>16.3</v>
      </c>
      <c r="H22">
        <v>6.56</v>
      </c>
      <c r="I22" t="s">
        <v>731</v>
      </c>
      <c r="J22" t="s">
        <v>755</v>
      </c>
      <c r="K22">
        <f t="shared" si="0"/>
        <v>2.1</v>
      </c>
      <c r="AC22" s="5">
        <f>AC21+1</f>
        <v>9</v>
      </c>
      <c r="AD22" s="5"/>
      <c r="AE22" s="5">
        <f t="shared" si="1"/>
        <v>16.723785575527415</v>
      </c>
    </row>
    <row r="23" spans="1:31" x14ac:dyDescent="0.2">
      <c r="A23">
        <v>22</v>
      </c>
      <c r="B23" t="s">
        <v>729</v>
      </c>
      <c r="C23">
        <v>39</v>
      </c>
      <c r="D23">
        <v>4.8</v>
      </c>
      <c r="E23">
        <v>19</v>
      </c>
      <c r="F23">
        <v>10.27</v>
      </c>
      <c r="G23">
        <v>17.600000000000001</v>
      </c>
      <c r="H23">
        <v>5.66</v>
      </c>
      <c r="I23" t="s">
        <v>731</v>
      </c>
      <c r="J23" t="s">
        <v>755</v>
      </c>
      <c r="K23">
        <f t="shared" si="0"/>
        <v>2.4</v>
      </c>
      <c r="AC23" s="5">
        <f>AC22+1</f>
        <v>10</v>
      </c>
      <c r="AD23" s="5"/>
      <c r="AE23" s="5">
        <f t="shared" si="1"/>
        <v>17.373836153071093</v>
      </c>
    </row>
    <row r="24" spans="1:31" x14ac:dyDescent="0.2">
      <c r="A24">
        <v>18</v>
      </c>
      <c r="B24" t="s">
        <v>729</v>
      </c>
      <c r="C24">
        <v>29</v>
      </c>
      <c r="D24">
        <v>2.8</v>
      </c>
      <c r="E24">
        <v>14.2</v>
      </c>
      <c r="F24">
        <v>9.2100000000000009</v>
      </c>
      <c r="G24">
        <v>12.2</v>
      </c>
      <c r="H24">
        <v>2.1800000000000002</v>
      </c>
      <c r="I24" t="s">
        <v>731</v>
      </c>
      <c r="J24" t="s">
        <v>755</v>
      </c>
      <c r="K24">
        <f t="shared" si="0"/>
        <v>1.4</v>
      </c>
      <c r="AC24" s="5">
        <f t="shared" ref="AC24:AC55" si="3">AC23+1</f>
        <v>11</v>
      </c>
      <c r="AE24" s="5">
        <f t="shared" si="1"/>
        <v>17.984375371677903</v>
      </c>
    </row>
    <row r="25" spans="1:31" x14ac:dyDescent="0.2">
      <c r="A25">
        <v>7</v>
      </c>
      <c r="B25" t="s">
        <v>729</v>
      </c>
      <c r="C25">
        <v>19</v>
      </c>
      <c r="D25">
        <v>4</v>
      </c>
      <c r="E25">
        <v>9.41</v>
      </c>
      <c r="F25">
        <v>4.21</v>
      </c>
      <c r="G25">
        <v>10.5</v>
      </c>
      <c r="H25">
        <v>3.68</v>
      </c>
      <c r="I25" t="s">
        <v>731</v>
      </c>
      <c r="J25" t="s">
        <v>755</v>
      </c>
      <c r="K25">
        <f t="shared" si="0"/>
        <v>2</v>
      </c>
      <c r="AC25" s="5">
        <f t="shared" si="3"/>
        <v>12</v>
      </c>
      <c r="AE25" s="5">
        <f t="shared" si="1"/>
        <v>18.561140759355432</v>
      </c>
    </row>
    <row r="26" spans="1:31" x14ac:dyDescent="0.2">
      <c r="A26">
        <v>16</v>
      </c>
      <c r="B26" t="s">
        <v>729</v>
      </c>
      <c r="C26">
        <v>29</v>
      </c>
      <c r="D26">
        <v>3.2</v>
      </c>
      <c r="E26">
        <v>14.78</v>
      </c>
      <c r="F26">
        <v>6.85</v>
      </c>
      <c r="G26">
        <v>11.9</v>
      </c>
      <c r="H26">
        <v>3.93</v>
      </c>
      <c r="I26" t="s">
        <v>731</v>
      </c>
      <c r="J26" t="s">
        <v>755</v>
      </c>
      <c r="K26">
        <f t="shared" si="0"/>
        <v>1.6</v>
      </c>
      <c r="AC26" s="5">
        <f t="shared" si="3"/>
        <v>13</v>
      </c>
      <c r="AE26" s="5">
        <f t="shared" si="1"/>
        <v>19.108635939504474</v>
      </c>
    </row>
    <row r="27" spans="1:31" x14ac:dyDescent="0.2">
      <c r="A27">
        <v>1</v>
      </c>
      <c r="B27" t="s">
        <v>729</v>
      </c>
      <c r="C27">
        <v>32</v>
      </c>
      <c r="D27">
        <v>6.9365497472116342</v>
      </c>
      <c r="G27">
        <v>16.7</v>
      </c>
      <c r="I27" t="s">
        <v>732</v>
      </c>
      <c r="K27">
        <f t="shared" si="0"/>
        <v>3.4682748736058171</v>
      </c>
      <c r="AC27" s="5">
        <f t="shared" si="3"/>
        <v>14</v>
      </c>
      <c r="AE27" s="5">
        <f t="shared" si="1"/>
        <v>19.630469201881777</v>
      </c>
    </row>
    <row r="28" spans="1:31" x14ac:dyDescent="0.2">
      <c r="A28">
        <v>2</v>
      </c>
      <c r="B28" t="s">
        <v>729</v>
      </c>
      <c r="C28">
        <v>32</v>
      </c>
      <c r="D28">
        <v>7.0041358966431986</v>
      </c>
      <c r="G28">
        <v>16.7</v>
      </c>
      <c r="I28" t="s">
        <v>732</v>
      </c>
      <c r="K28">
        <f t="shared" si="0"/>
        <v>3.5020679483215993</v>
      </c>
      <c r="AC28" s="5">
        <f t="shared" si="3"/>
        <v>15</v>
      </c>
      <c r="AE28" s="5">
        <f t="shared" si="1"/>
        <v>20.12958189073894</v>
      </c>
    </row>
    <row r="29" spans="1:31" x14ac:dyDescent="0.2">
      <c r="A29">
        <v>3</v>
      </c>
      <c r="B29" t="s">
        <v>729</v>
      </c>
      <c r="C29">
        <v>32</v>
      </c>
      <c r="D29">
        <v>3.8248558625139091</v>
      </c>
      <c r="G29">
        <v>14.3</v>
      </c>
      <c r="I29" t="s">
        <v>732</v>
      </c>
      <c r="K29">
        <f t="shared" si="0"/>
        <v>1.9124279312569545</v>
      </c>
      <c r="AC29" s="5">
        <f t="shared" si="3"/>
        <v>16</v>
      </c>
      <c r="AE29" s="5">
        <f t="shared" si="1"/>
        <v>20.608407357700912</v>
      </c>
    </row>
    <row r="30" spans="1:31" x14ac:dyDescent="0.2">
      <c r="A30">
        <v>4</v>
      </c>
      <c r="B30" t="s">
        <v>729</v>
      </c>
      <c r="C30">
        <v>32</v>
      </c>
      <c r="D30">
        <v>4.7552848825802743</v>
      </c>
      <c r="G30">
        <v>14.3</v>
      </c>
      <c r="I30" t="s">
        <v>732</v>
      </c>
      <c r="K30">
        <f t="shared" si="0"/>
        <v>2.3776424412901371</v>
      </c>
      <c r="AC30" s="5">
        <f t="shared" si="3"/>
        <v>17</v>
      </c>
      <c r="AE30" s="5">
        <f t="shared" si="1"/>
        <v>21.068984570936607</v>
      </c>
    </row>
    <row r="31" spans="1:31" x14ac:dyDescent="0.2">
      <c r="A31">
        <v>5</v>
      </c>
      <c r="B31" t="s">
        <v>729</v>
      </c>
      <c r="C31">
        <v>32</v>
      </c>
      <c r="D31">
        <v>5.4068086656658512</v>
      </c>
      <c r="G31">
        <v>12.4</v>
      </c>
      <c r="I31" t="s">
        <v>732</v>
      </c>
      <c r="K31">
        <f t="shared" si="0"/>
        <v>2.7034043328329256</v>
      </c>
      <c r="AC31" s="5">
        <f t="shared" si="3"/>
        <v>18</v>
      </c>
      <c r="AE31" s="5">
        <f t="shared" si="1"/>
        <v>21.513041198182485</v>
      </c>
    </row>
    <row r="32" spans="1:31" x14ac:dyDescent="0.2">
      <c r="A32">
        <v>6</v>
      </c>
      <c r="B32" t="s">
        <v>729</v>
      </c>
      <c r="C32">
        <v>32</v>
      </c>
      <c r="D32">
        <v>3.749208526326083</v>
      </c>
      <c r="G32">
        <v>12.4</v>
      </c>
      <c r="I32" t="s">
        <v>732</v>
      </c>
      <c r="K32">
        <f t="shared" si="0"/>
        <v>1.8746042631630415</v>
      </c>
      <c r="V32" s="5"/>
      <c r="W32" s="83" t="s">
        <v>980</v>
      </c>
      <c r="X32" s="83">
        <v>7.5</v>
      </c>
      <c r="AC32" s="5">
        <f t="shared" si="3"/>
        <v>19</v>
      </c>
      <c r="AE32" s="5">
        <f t="shared" si="1"/>
        <v>21.942055590988282</v>
      </c>
    </row>
    <row r="33" spans="1:31" x14ac:dyDescent="0.2">
      <c r="A33" t="s">
        <v>718</v>
      </c>
      <c r="B33" t="s">
        <v>729</v>
      </c>
      <c r="C33">
        <v>20</v>
      </c>
      <c r="E33">
        <v>9.4</v>
      </c>
      <c r="G33">
        <v>6.2</v>
      </c>
      <c r="H33">
        <v>0.5</v>
      </c>
      <c r="I33" t="s">
        <v>733</v>
      </c>
      <c r="J33" t="s">
        <v>119</v>
      </c>
      <c r="K33">
        <f t="shared" si="0"/>
        <v>0</v>
      </c>
      <c r="V33" s="5"/>
      <c r="W33" s="83"/>
      <c r="X33" s="83">
        <v>-1.4999999999999999E-2</v>
      </c>
      <c r="AC33" s="5">
        <f t="shared" si="3"/>
        <v>20</v>
      </c>
      <c r="AE33" s="5">
        <f t="shared" si="1"/>
        <v>22.357303846887625</v>
      </c>
    </row>
    <row r="34" spans="1:31" x14ac:dyDescent="0.2">
      <c r="A34" t="s">
        <v>718</v>
      </c>
      <c r="B34" t="s">
        <v>729</v>
      </c>
      <c r="C34">
        <v>20</v>
      </c>
      <c r="E34">
        <v>11.8</v>
      </c>
      <c r="G34">
        <v>9.1999999999999993</v>
      </c>
      <c r="H34">
        <v>2.2000000000000002</v>
      </c>
      <c r="I34" t="s">
        <v>733</v>
      </c>
      <c r="J34" t="s">
        <v>719</v>
      </c>
      <c r="K34">
        <f t="shared" si="0"/>
        <v>0</v>
      </c>
      <c r="V34" s="5"/>
      <c r="W34" s="83"/>
      <c r="X34" s="83">
        <v>-0.35</v>
      </c>
      <c r="AC34" s="5">
        <f t="shared" si="3"/>
        <v>21</v>
      </c>
      <c r="AE34" s="5">
        <f t="shared" si="1"/>
        <v>22.759896101855233</v>
      </c>
    </row>
    <row r="35" spans="1:31" x14ac:dyDescent="0.2">
      <c r="A35" t="s">
        <v>718</v>
      </c>
      <c r="B35" t="s">
        <v>729</v>
      </c>
      <c r="C35">
        <v>20</v>
      </c>
      <c r="E35">
        <v>13.2</v>
      </c>
      <c r="G35">
        <v>11.3</v>
      </c>
      <c r="H35">
        <v>2.9</v>
      </c>
      <c r="I35" t="s">
        <v>733</v>
      </c>
      <c r="J35" t="s">
        <v>719</v>
      </c>
      <c r="K35">
        <f t="shared" si="0"/>
        <v>0</v>
      </c>
      <c r="V35" s="5"/>
      <c r="W35" s="5"/>
      <c r="X35" s="5"/>
      <c r="AC35" s="5">
        <f t="shared" si="3"/>
        <v>22</v>
      </c>
      <c r="AE35" s="5">
        <f t="shared" si="1"/>
        <v>23.15080490870842</v>
      </c>
    </row>
    <row r="36" spans="1:31" x14ac:dyDescent="0.2">
      <c r="A36" t="s">
        <v>718</v>
      </c>
      <c r="B36" t="s">
        <v>729</v>
      </c>
      <c r="C36">
        <v>20</v>
      </c>
      <c r="E36">
        <v>14.8</v>
      </c>
      <c r="G36">
        <v>13.3</v>
      </c>
      <c r="H36">
        <v>3.5</v>
      </c>
      <c r="I36" t="s">
        <v>733</v>
      </c>
      <c r="J36" t="s">
        <v>122</v>
      </c>
      <c r="K36">
        <f t="shared" si="0"/>
        <v>0</v>
      </c>
      <c r="AC36" s="5">
        <f t="shared" si="3"/>
        <v>23</v>
      </c>
      <c r="AE36" s="5">
        <f t="shared" si="1"/>
        <v>23.530887705496053</v>
      </c>
    </row>
    <row r="37" spans="1:31" x14ac:dyDescent="0.2">
      <c r="A37" t="s">
        <v>718</v>
      </c>
      <c r="B37" t="s">
        <v>729</v>
      </c>
      <c r="C37">
        <v>24</v>
      </c>
      <c r="E37">
        <v>11.8</v>
      </c>
      <c r="G37">
        <v>8.6</v>
      </c>
      <c r="H37">
        <v>1.4</v>
      </c>
      <c r="I37" t="s">
        <v>733</v>
      </c>
      <c r="J37" t="s">
        <v>720</v>
      </c>
      <c r="K37">
        <f t="shared" si="0"/>
        <v>0</v>
      </c>
      <c r="AC37" s="5">
        <f t="shared" si="3"/>
        <v>24</v>
      </c>
      <c r="AE37" s="5">
        <f t="shared" si="1"/>
        <v>23.900904806015891</v>
      </c>
    </row>
    <row r="38" spans="1:31" x14ac:dyDescent="0.2">
      <c r="A38" t="s">
        <v>718</v>
      </c>
      <c r="B38" t="s">
        <v>729</v>
      </c>
      <c r="C38">
        <v>24</v>
      </c>
      <c r="E38">
        <v>14.4</v>
      </c>
      <c r="G38">
        <v>10.7</v>
      </c>
      <c r="H38">
        <v>2.1</v>
      </c>
      <c r="I38" t="s">
        <v>733</v>
      </c>
      <c r="J38" t="s">
        <v>119</v>
      </c>
      <c r="K38">
        <f t="shared" si="0"/>
        <v>0</v>
      </c>
      <c r="AC38" s="5">
        <f t="shared" si="3"/>
        <v>25</v>
      </c>
      <c r="AE38" s="5">
        <f t="shared" si="1"/>
        <v>24.261533952780102</v>
      </c>
    </row>
    <row r="39" spans="1:31" x14ac:dyDescent="0.2">
      <c r="A39" t="s">
        <v>718</v>
      </c>
      <c r="B39" t="s">
        <v>729</v>
      </c>
      <c r="C39">
        <v>24</v>
      </c>
      <c r="E39">
        <v>15.4</v>
      </c>
      <c r="G39">
        <v>13.8</v>
      </c>
      <c r="H39">
        <v>4.7</v>
      </c>
      <c r="I39" t="s">
        <v>733</v>
      </c>
      <c r="J39" t="s">
        <v>719</v>
      </c>
      <c r="K39">
        <f t="shared" si="0"/>
        <v>0</v>
      </c>
      <c r="AC39" s="5">
        <f t="shared" si="3"/>
        <v>26</v>
      </c>
      <c r="AE39" s="5">
        <f t="shared" si="1"/>
        <v>24.613382199410154</v>
      </c>
    </row>
    <row r="40" spans="1:31" x14ac:dyDescent="0.2">
      <c r="A40" t="s">
        <v>718</v>
      </c>
      <c r="B40" t="s">
        <v>729</v>
      </c>
      <c r="C40">
        <v>24</v>
      </c>
      <c r="E40">
        <v>19</v>
      </c>
      <c r="G40">
        <v>18.100000000000001</v>
      </c>
      <c r="H40">
        <v>9.9</v>
      </c>
      <c r="I40" t="s">
        <v>733</v>
      </c>
      <c r="J40" t="s">
        <v>122</v>
      </c>
      <c r="K40">
        <f t="shared" si="0"/>
        <v>0</v>
      </c>
      <c r="AC40" s="5">
        <f t="shared" si="3"/>
        <v>27</v>
      </c>
      <c r="AE40" s="5">
        <f t="shared" si="1"/>
        <v>24.956995695605443</v>
      </c>
    </row>
    <row r="41" spans="1:31" x14ac:dyDescent="0.2">
      <c r="A41" t="s">
        <v>718</v>
      </c>
      <c r="B41" t="s">
        <v>729</v>
      </c>
      <c r="C41">
        <v>36</v>
      </c>
      <c r="E41">
        <v>22.2</v>
      </c>
      <c r="G41">
        <v>17.5</v>
      </c>
      <c r="H41">
        <v>3.6</v>
      </c>
      <c r="I41" t="s">
        <v>733</v>
      </c>
      <c r="J41" t="s">
        <v>719</v>
      </c>
      <c r="K41">
        <f t="shared" si="0"/>
        <v>0</v>
      </c>
      <c r="AC41" s="5">
        <f t="shared" si="3"/>
        <v>28</v>
      </c>
      <c r="AE41" s="5">
        <f t="shared" si="1"/>
        <v>25.292867808300478</v>
      </c>
    </row>
    <row r="42" spans="1:31" x14ac:dyDescent="0.2">
      <c r="A42" t="s">
        <v>718</v>
      </c>
      <c r="B42" t="s">
        <v>729</v>
      </c>
      <c r="C42">
        <v>36</v>
      </c>
      <c r="E42">
        <v>22.2</v>
      </c>
      <c r="G42">
        <v>20.399999999999999</v>
      </c>
      <c r="H42">
        <v>6.7</v>
      </c>
      <c r="I42" t="s">
        <v>733</v>
      </c>
      <c r="J42" t="s">
        <v>719</v>
      </c>
      <c r="K42">
        <f t="shared" si="0"/>
        <v>0</v>
      </c>
      <c r="AC42" s="5">
        <f t="shared" si="3"/>
        <v>29</v>
      </c>
      <c r="AE42" s="5">
        <f t="shared" si="1"/>
        <v>25.621445910802318</v>
      </c>
    </row>
    <row r="43" spans="1:31" x14ac:dyDescent="0.2">
      <c r="A43" t="s">
        <v>718</v>
      </c>
      <c r="B43" t="s">
        <v>729</v>
      </c>
      <c r="C43">
        <v>36</v>
      </c>
      <c r="E43">
        <v>24.4</v>
      </c>
      <c r="G43">
        <v>23</v>
      </c>
      <c r="H43">
        <v>8.1999999999999993</v>
      </c>
      <c r="I43" t="s">
        <v>733</v>
      </c>
      <c r="J43" t="s">
        <v>719</v>
      </c>
      <c r="K43">
        <f t="shared" si="0"/>
        <v>0</v>
      </c>
      <c r="AC43" s="5">
        <f t="shared" si="3"/>
        <v>30</v>
      </c>
      <c r="AE43" s="5">
        <f t="shared" si="1"/>
        <v>25.943137096452439</v>
      </c>
    </row>
    <row r="44" spans="1:31" x14ac:dyDescent="0.2">
      <c r="A44" t="s">
        <v>718</v>
      </c>
      <c r="B44" t="s">
        <v>729</v>
      </c>
      <c r="C44">
        <v>41</v>
      </c>
      <c r="E44">
        <v>25</v>
      </c>
      <c r="G44">
        <v>23.1</v>
      </c>
      <c r="H44">
        <v>7.6</v>
      </c>
      <c r="I44" t="s">
        <v>733</v>
      </c>
      <c r="J44" t="s">
        <v>719</v>
      </c>
      <c r="K44">
        <f t="shared" si="0"/>
        <v>0</v>
      </c>
      <c r="AC44" s="5">
        <f t="shared" si="3"/>
        <v>31</v>
      </c>
      <c r="AE44" s="5">
        <f t="shared" si="1"/>
        <v>26.258313017099244</v>
      </c>
    </row>
    <row r="45" spans="1:31" x14ac:dyDescent="0.2">
      <c r="A45" t="s">
        <v>718</v>
      </c>
      <c r="B45" t="s">
        <v>729</v>
      </c>
      <c r="C45">
        <v>41</v>
      </c>
      <c r="E45">
        <v>25.8</v>
      </c>
      <c r="G45">
        <v>25.2</v>
      </c>
      <c r="H45">
        <v>8.6</v>
      </c>
      <c r="I45" t="s">
        <v>733</v>
      </c>
      <c r="J45" t="s">
        <v>719</v>
      </c>
      <c r="K45">
        <f t="shared" si="0"/>
        <v>0</v>
      </c>
      <c r="AC45" s="5">
        <f t="shared" si="3"/>
        <v>32</v>
      </c>
      <c r="AE45" s="5">
        <f t="shared" si="1"/>
        <v>26.567314004152117</v>
      </c>
    </row>
    <row r="46" spans="1:31" x14ac:dyDescent="0.2">
      <c r="A46" t="s">
        <v>718</v>
      </c>
      <c r="B46" t="s">
        <v>729</v>
      </c>
      <c r="C46">
        <v>41</v>
      </c>
      <c r="E46">
        <v>28.2</v>
      </c>
      <c r="G46">
        <v>28.1</v>
      </c>
      <c r="H46">
        <v>12.9</v>
      </c>
      <c r="I46" t="s">
        <v>733</v>
      </c>
      <c r="J46" t="s">
        <v>719</v>
      </c>
      <c r="K46">
        <f t="shared" si="0"/>
        <v>0</v>
      </c>
      <c r="AC46" s="5">
        <f t="shared" si="3"/>
        <v>33</v>
      </c>
      <c r="AE46" s="5">
        <f t="shared" si="1"/>
        <v>26.870452597536151</v>
      </c>
    </row>
    <row r="47" spans="1:31" x14ac:dyDescent="0.2">
      <c r="A47" t="s">
        <v>718</v>
      </c>
      <c r="B47" t="s">
        <v>729</v>
      </c>
      <c r="C47">
        <v>41</v>
      </c>
      <c r="E47">
        <v>30</v>
      </c>
      <c r="G47">
        <v>46.3</v>
      </c>
      <c r="H47">
        <v>47.9</v>
      </c>
      <c r="I47" t="s">
        <v>733</v>
      </c>
      <c r="J47" t="s">
        <v>122</v>
      </c>
      <c r="K47">
        <f t="shared" si="0"/>
        <v>0</v>
      </c>
      <c r="AC47" s="5">
        <f t="shared" si="3"/>
        <v>34</v>
      </c>
      <c r="AE47" s="5">
        <f t="shared" si="1"/>
        <v>27.168016582865576</v>
      </c>
    </row>
    <row r="48" spans="1:31" x14ac:dyDescent="0.2">
      <c r="A48" t="s">
        <v>718</v>
      </c>
      <c r="B48" t="s">
        <v>729</v>
      </c>
      <c r="C48">
        <v>42</v>
      </c>
      <c r="E48">
        <v>22.6</v>
      </c>
      <c r="G48">
        <v>18.3</v>
      </c>
      <c r="H48">
        <v>4.5</v>
      </c>
      <c r="I48" t="s">
        <v>733</v>
      </c>
      <c r="J48" t="s">
        <v>119</v>
      </c>
      <c r="K48">
        <f t="shared" si="0"/>
        <v>0</v>
      </c>
      <c r="AC48" s="5">
        <f t="shared" si="3"/>
        <v>35</v>
      </c>
      <c r="AE48" s="5">
        <f t="shared" si="1"/>
        <v>27.460271617724207</v>
      </c>
    </row>
    <row r="49" spans="1:31" x14ac:dyDescent="0.2">
      <c r="A49" t="s">
        <v>718</v>
      </c>
      <c r="B49" t="s">
        <v>729</v>
      </c>
      <c r="C49">
        <v>42</v>
      </c>
      <c r="E49">
        <v>24</v>
      </c>
      <c r="G49">
        <v>23.2</v>
      </c>
      <c r="H49">
        <v>10.8</v>
      </c>
      <c r="I49" t="s">
        <v>733</v>
      </c>
      <c r="J49" t="s">
        <v>719</v>
      </c>
      <c r="K49">
        <f t="shared" si="0"/>
        <v>0</v>
      </c>
      <c r="AC49" s="5">
        <f t="shared" si="3"/>
        <v>36</v>
      </c>
      <c r="AE49" s="5">
        <f t="shared" si="1"/>
        <v>27.747463512720099</v>
      </c>
    </row>
    <row r="50" spans="1:31" x14ac:dyDescent="0.2">
      <c r="A50" t="s">
        <v>718</v>
      </c>
      <c r="B50" t="s">
        <v>729</v>
      </c>
      <c r="C50">
        <v>42</v>
      </c>
      <c r="E50">
        <v>27</v>
      </c>
      <c r="G50">
        <v>28.4</v>
      </c>
      <c r="H50">
        <v>13.8</v>
      </c>
      <c r="I50" t="s">
        <v>733</v>
      </c>
      <c r="J50" t="s">
        <v>719</v>
      </c>
      <c r="K50">
        <f t="shared" si="0"/>
        <v>0</v>
      </c>
      <c r="AC50" s="5">
        <f t="shared" si="3"/>
        <v>37</v>
      </c>
      <c r="AE50" s="5">
        <f t="shared" si="1"/>
        <v>28.029820220964584</v>
      </c>
    </row>
    <row r="51" spans="1:31" x14ac:dyDescent="0.2">
      <c r="A51" t="s">
        <v>718</v>
      </c>
      <c r="B51" t="s">
        <v>729</v>
      </c>
      <c r="C51">
        <v>42</v>
      </c>
      <c r="E51">
        <v>28.4</v>
      </c>
      <c r="G51">
        <v>33.5</v>
      </c>
      <c r="H51">
        <v>31.2</v>
      </c>
      <c r="I51" t="s">
        <v>733</v>
      </c>
      <c r="J51" t="s">
        <v>122</v>
      </c>
      <c r="K51">
        <f t="shared" si="0"/>
        <v>0</v>
      </c>
      <c r="AC51" s="5">
        <f t="shared" si="3"/>
        <v>38</v>
      </c>
      <c r="AE51" s="5">
        <f t="shared" si="1"/>
        <v>28.307553580072419</v>
      </c>
    </row>
    <row r="52" spans="1:31" x14ac:dyDescent="0.2">
      <c r="A52" t="s">
        <v>718</v>
      </c>
      <c r="B52" t="s">
        <v>729</v>
      </c>
      <c r="C52">
        <v>45</v>
      </c>
      <c r="E52">
        <v>21.6</v>
      </c>
      <c r="G52">
        <v>20.5</v>
      </c>
      <c r="H52">
        <v>5.5</v>
      </c>
      <c r="I52" t="s">
        <v>733</v>
      </c>
      <c r="J52" t="s">
        <v>719</v>
      </c>
      <c r="K52">
        <f t="shared" si="0"/>
        <v>0</v>
      </c>
      <c r="AC52" s="5">
        <f t="shared" si="3"/>
        <v>39</v>
      </c>
      <c r="AE52" s="5">
        <f t="shared" si="1"/>
        <v>28.580860843132157</v>
      </c>
    </row>
    <row r="53" spans="1:31" x14ac:dyDescent="0.2">
      <c r="A53" t="s">
        <v>718</v>
      </c>
      <c r="B53" t="s">
        <v>729</v>
      </c>
      <c r="C53">
        <v>45</v>
      </c>
      <c r="E53">
        <v>23</v>
      </c>
      <c r="G53">
        <v>24.3</v>
      </c>
      <c r="H53">
        <v>6.8</v>
      </c>
      <c r="I53" t="s">
        <v>733</v>
      </c>
      <c r="J53" t="s">
        <v>719</v>
      </c>
      <c r="K53">
        <f t="shared" si="0"/>
        <v>0</v>
      </c>
      <c r="AC53" s="5">
        <f t="shared" si="3"/>
        <v>40</v>
      </c>
      <c r="AE53" s="5">
        <f t="shared" si="1"/>
        <v>28.849926028935833</v>
      </c>
    </row>
    <row r="54" spans="1:31" x14ac:dyDescent="0.2">
      <c r="A54" t="s">
        <v>718</v>
      </c>
      <c r="B54" t="s">
        <v>729</v>
      </c>
      <c r="C54">
        <v>50</v>
      </c>
      <c r="H54" s="3">
        <v>15.045045045045045</v>
      </c>
      <c r="I54" t="s">
        <v>734</v>
      </c>
      <c r="K54">
        <f t="shared" si="0"/>
        <v>0</v>
      </c>
      <c r="AC54" s="5">
        <f t="shared" si="3"/>
        <v>41</v>
      </c>
      <c r="AE54" s="5">
        <f t="shared" si="1"/>
        <v>29.114921116765306</v>
      </c>
    </row>
    <row r="55" spans="1:31" x14ac:dyDescent="0.2">
      <c r="A55" t="s">
        <v>718</v>
      </c>
      <c r="B55" t="s">
        <v>729</v>
      </c>
      <c r="C55">
        <v>70</v>
      </c>
      <c r="E55">
        <v>36.5</v>
      </c>
      <c r="H55" s="3">
        <v>35.483870967741936</v>
      </c>
      <c r="I55" t="s">
        <v>734</v>
      </c>
      <c r="K55">
        <f t="shared" si="0"/>
        <v>0</v>
      </c>
      <c r="V55" s="5"/>
      <c r="W55" s="5"/>
      <c r="X55" s="5"/>
      <c r="AC55" s="5">
        <f t="shared" si="3"/>
        <v>42</v>
      </c>
      <c r="AE55" s="5">
        <f t="shared" si="1"/>
        <v>29.376007106964462</v>
      </c>
    </row>
    <row r="56" spans="1:31" x14ac:dyDescent="0.2">
      <c r="A56" t="s">
        <v>718</v>
      </c>
      <c r="B56" t="s">
        <v>729</v>
      </c>
      <c r="C56">
        <v>18</v>
      </c>
      <c r="E56">
        <v>6</v>
      </c>
      <c r="H56" s="3">
        <v>3.2</v>
      </c>
      <c r="I56" t="s">
        <v>734</v>
      </c>
      <c r="K56">
        <f t="shared" si="0"/>
        <v>0</v>
      </c>
      <c r="N56" t="s">
        <v>721</v>
      </c>
      <c r="O56" t="s">
        <v>722</v>
      </c>
      <c r="P56" t="s">
        <v>723</v>
      </c>
      <c r="Q56" t="s">
        <v>724</v>
      </c>
      <c r="R56" t="s">
        <v>725</v>
      </c>
      <c r="S56" t="s">
        <v>726</v>
      </c>
      <c r="T56" t="s">
        <v>727</v>
      </c>
      <c r="U56" t="s">
        <v>730</v>
      </c>
      <c r="V56" t="s">
        <v>728</v>
      </c>
      <c r="W56" s="5"/>
      <c r="X56" s="5"/>
    </row>
    <row r="57" spans="1:31" x14ac:dyDescent="0.2">
      <c r="A57" t="s">
        <v>718</v>
      </c>
      <c r="B57" t="s">
        <v>729</v>
      </c>
      <c r="C57">
        <v>24</v>
      </c>
      <c r="E57">
        <v>18.8</v>
      </c>
      <c r="H57" s="3">
        <v>9.3333333333333339</v>
      </c>
      <c r="I57" t="s">
        <v>734</v>
      </c>
      <c r="K57">
        <f t="shared" si="0"/>
        <v>0</v>
      </c>
      <c r="N57">
        <v>12</v>
      </c>
      <c r="O57" t="s">
        <v>729</v>
      </c>
      <c r="P57">
        <v>9</v>
      </c>
      <c r="Q57">
        <v>3.4</v>
      </c>
      <c r="R57">
        <v>7.62</v>
      </c>
      <c r="S57">
        <v>0.44</v>
      </c>
      <c r="T57">
        <v>10.3</v>
      </c>
      <c r="U57">
        <v>7.82</v>
      </c>
      <c r="V57" t="s">
        <v>731</v>
      </c>
      <c r="W57" s="5"/>
      <c r="X57" s="5">
        <f t="shared" ref="X57:X105" si="4">$X$32/($X$33+U57^$X$34)</f>
        <v>15.895544143008097</v>
      </c>
      <c r="Y57">
        <f t="shared" ref="Y57:Y105" si="5">(X57-R57)^2</f>
        <v>68.484630862875633</v>
      </c>
    </row>
    <row r="58" spans="1:31" x14ac:dyDescent="0.2">
      <c r="A58" t="s">
        <v>718</v>
      </c>
      <c r="B58" t="s">
        <v>729</v>
      </c>
      <c r="C58">
        <v>23</v>
      </c>
      <c r="E58">
        <v>15.3</v>
      </c>
      <c r="G58">
        <v>14.3</v>
      </c>
      <c r="H58" s="3">
        <v>6.1</v>
      </c>
      <c r="I58" t="s">
        <v>735</v>
      </c>
      <c r="K58">
        <f t="shared" si="0"/>
        <v>0</v>
      </c>
      <c r="N58">
        <v>10</v>
      </c>
      <c r="O58" t="s">
        <v>729</v>
      </c>
      <c r="P58">
        <v>9</v>
      </c>
      <c r="Q58">
        <v>2.8</v>
      </c>
      <c r="R58">
        <v>6.3</v>
      </c>
      <c r="S58">
        <v>0.5</v>
      </c>
      <c r="T58">
        <v>9.9</v>
      </c>
      <c r="U58">
        <v>8.44</v>
      </c>
      <c r="V58" t="s">
        <v>731</v>
      </c>
      <c r="W58" s="5"/>
      <c r="X58" s="5">
        <f t="shared" si="4"/>
        <v>16.339799266960185</v>
      </c>
      <c r="Y58">
        <f t="shared" si="5"/>
        <v>100.79756932085425</v>
      </c>
    </row>
    <row r="59" spans="1:31" x14ac:dyDescent="0.2">
      <c r="B59" t="s">
        <v>729</v>
      </c>
      <c r="C59">
        <v>20</v>
      </c>
      <c r="D59">
        <v>1.25</v>
      </c>
      <c r="E59">
        <v>9.4</v>
      </c>
      <c r="G59">
        <v>6.2</v>
      </c>
      <c r="I59" t="s">
        <v>737</v>
      </c>
      <c r="K59">
        <f t="shared" si="0"/>
        <v>0.625</v>
      </c>
      <c r="N59">
        <v>20</v>
      </c>
      <c r="O59" t="s">
        <v>729</v>
      </c>
      <c r="P59">
        <v>29</v>
      </c>
      <c r="Q59">
        <v>5.6</v>
      </c>
      <c r="R59">
        <v>19</v>
      </c>
      <c r="S59">
        <v>8.6</v>
      </c>
      <c r="T59">
        <v>23.4</v>
      </c>
      <c r="U59">
        <v>15</v>
      </c>
      <c r="V59" t="s">
        <v>731</v>
      </c>
      <c r="W59" s="5"/>
      <c r="X59" s="5">
        <f t="shared" si="4"/>
        <v>20.12958189073894</v>
      </c>
      <c r="Y59">
        <f t="shared" si="5"/>
        <v>1.2759552478853593</v>
      </c>
    </row>
    <row r="60" spans="1:31" x14ac:dyDescent="0.2">
      <c r="B60" t="s">
        <v>729</v>
      </c>
      <c r="C60">
        <v>20</v>
      </c>
      <c r="D60">
        <v>2.2000000000000002</v>
      </c>
      <c r="E60">
        <v>11.8</v>
      </c>
      <c r="G60">
        <v>9.1999999999999993</v>
      </c>
      <c r="I60" t="s">
        <v>737</v>
      </c>
      <c r="K60">
        <f t="shared" si="0"/>
        <v>1.1000000000000001</v>
      </c>
      <c r="N60">
        <v>5</v>
      </c>
      <c r="O60" t="s">
        <v>729</v>
      </c>
      <c r="P60">
        <v>19</v>
      </c>
      <c r="Q60">
        <v>7</v>
      </c>
      <c r="R60">
        <v>13.3</v>
      </c>
      <c r="S60">
        <v>3.13</v>
      </c>
      <c r="T60">
        <v>20.9</v>
      </c>
      <c r="U60">
        <v>23.37</v>
      </c>
      <c r="V60" t="s">
        <v>731</v>
      </c>
      <c r="W60" s="5"/>
      <c r="X60" s="5">
        <f t="shared" si="4"/>
        <v>23.6689294589833</v>
      </c>
      <c r="Y60">
        <f t="shared" si="5"/>
        <v>107.51469812537169</v>
      </c>
    </row>
    <row r="61" spans="1:31" x14ac:dyDescent="0.2">
      <c r="B61" t="s">
        <v>729</v>
      </c>
      <c r="C61">
        <v>20</v>
      </c>
      <c r="D61">
        <v>2.2999999999999998</v>
      </c>
      <c r="E61">
        <v>13.2</v>
      </c>
      <c r="G61">
        <v>11.3</v>
      </c>
      <c r="I61" t="s">
        <v>737</v>
      </c>
      <c r="K61">
        <f t="shared" si="0"/>
        <v>1.1499999999999999</v>
      </c>
      <c r="N61">
        <v>4</v>
      </c>
      <c r="O61" t="s">
        <v>729</v>
      </c>
      <c r="P61">
        <v>19</v>
      </c>
      <c r="Q61">
        <v>6.8</v>
      </c>
      <c r="R61">
        <v>13.95</v>
      </c>
      <c r="S61">
        <v>2.52</v>
      </c>
      <c r="T61">
        <v>23.2</v>
      </c>
      <c r="U61">
        <v>30.81</v>
      </c>
      <c r="V61" t="s">
        <v>731</v>
      </c>
      <c r="W61" s="5"/>
      <c r="X61" s="5">
        <f t="shared" si="4"/>
        <v>26.198914737730178</v>
      </c>
      <c r="Y61">
        <f t="shared" si="5"/>
        <v>150.03591225218355</v>
      </c>
    </row>
    <row r="62" spans="1:31" x14ac:dyDescent="0.2">
      <c r="B62" t="s">
        <v>729</v>
      </c>
      <c r="C62">
        <v>20</v>
      </c>
      <c r="D62">
        <v>2.7</v>
      </c>
      <c r="E62">
        <v>14.8</v>
      </c>
      <c r="G62">
        <v>13.3</v>
      </c>
      <c r="I62" t="s">
        <v>737</v>
      </c>
      <c r="K62">
        <f t="shared" si="0"/>
        <v>1.35</v>
      </c>
      <c r="N62">
        <v>6</v>
      </c>
      <c r="O62" t="s">
        <v>729</v>
      </c>
      <c r="P62">
        <v>19</v>
      </c>
      <c r="Q62">
        <v>7</v>
      </c>
      <c r="R62">
        <v>14.4</v>
      </c>
      <c r="S62">
        <v>3.8</v>
      </c>
      <c r="T62">
        <v>24</v>
      </c>
      <c r="U62">
        <v>38.33</v>
      </c>
      <c r="V62" t="s">
        <v>731</v>
      </c>
      <c r="W62" s="5"/>
      <c r="X62" s="5">
        <f t="shared" si="4"/>
        <v>28.398225004154497</v>
      </c>
      <c r="Y62">
        <f t="shared" si="5"/>
        <v>195.95030326693617</v>
      </c>
    </row>
    <row r="63" spans="1:31" x14ac:dyDescent="0.2">
      <c r="B63" t="s">
        <v>729</v>
      </c>
      <c r="C63">
        <v>24</v>
      </c>
      <c r="D63">
        <v>2.0499999999999998</v>
      </c>
      <c r="E63">
        <v>11.8</v>
      </c>
      <c r="G63">
        <v>8.6</v>
      </c>
      <c r="I63" t="s">
        <v>737</v>
      </c>
      <c r="K63">
        <f t="shared" si="0"/>
        <v>1.0249999999999999</v>
      </c>
      <c r="N63">
        <v>1</v>
      </c>
      <c r="O63" t="s">
        <v>729</v>
      </c>
      <c r="P63">
        <v>39</v>
      </c>
      <c r="Q63">
        <v>10.6</v>
      </c>
      <c r="R63">
        <v>25.4</v>
      </c>
      <c r="S63">
        <v>10.24</v>
      </c>
      <c r="T63">
        <v>37.799999999999997</v>
      </c>
      <c r="U63">
        <v>36.590000000000003</v>
      </c>
      <c r="V63" t="s">
        <v>731</v>
      </c>
      <c r="W63" s="5"/>
      <c r="X63" s="5">
        <f t="shared" si="4"/>
        <v>27.914624861569276</v>
      </c>
      <c r="Y63">
        <f t="shared" si="5"/>
        <v>6.323338194422309</v>
      </c>
    </row>
    <row r="64" spans="1:31" x14ac:dyDescent="0.2">
      <c r="B64" t="s">
        <v>729</v>
      </c>
      <c r="C64">
        <v>24</v>
      </c>
      <c r="D64">
        <v>2.25</v>
      </c>
      <c r="E64">
        <v>14.4</v>
      </c>
      <c r="G64">
        <v>10.7</v>
      </c>
      <c r="I64" t="s">
        <v>737</v>
      </c>
      <c r="K64">
        <f t="shared" si="0"/>
        <v>1.125</v>
      </c>
      <c r="N64">
        <v>2</v>
      </c>
      <c r="O64" t="s">
        <v>729</v>
      </c>
      <c r="P64">
        <v>39</v>
      </c>
      <c r="Q64">
        <v>9.8000000000000007</v>
      </c>
      <c r="R64">
        <v>26.34</v>
      </c>
      <c r="S64">
        <v>7.62</v>
      </c>
      <c r="T64">
        <v>38.200000000000003</v>
      </c>
      <c r="U64">
        <v>44.08</v>
      </c>
      <c r="V64" t="s">
        <v>731</v>
      </c>
      <c r="W64" s="5"/>
      <c r="X64" s="5">
        <f t="shared" si="4"/>
        <v>29.9071912077471</v>
      </c>
      <c r="Y64">
        <f t="shared" si="5"/>
        <v>12.724853112628219</v>
      </c>
    </row>
    <row r="65" spans="2:25" x14ac:dyDescent="0.2">
      <c r="B65" t="s">
        <v>729</v>
      </c>
      <c r="C65">
        <v>24</v>
      </c>
      <c r="D65">
        <v>3.1</v>
      </c>
      <c r="E65">
        <v>15.4</v>
      </c>
      <c r="G65">
        <v>13.8</v>
      </c>
      <c r="I65" t="s">
        <v>737</v>
      </c>
      <c r="K65">
        <f t="shared" si="0"/>
        <v>1.55</v>
      </c>
      <c r="N65">
        <v>21</v>
      </c>
      <c r="O65" t="s">
        <v>729</v>
      </c>
      <c r="P65">
        <v>29</v>
      </c>
      <c r="Q65">
        <v>6.4</v>
      </c>
      <c r="R65">
        <v>20</v>
      </c>
      <c r="S65">
        <v>9.6</v>
      </c>
      <c r="T65">
        <v>26.6</v>
      </c>
      <c r="U65">
        <v>22.78</v>
      </c>
      <c r="V65" t="s">
        <v>731</v>
      </c>
      <c r="W65" s="5"/>
      <c r="X65" s="5">
        <f t="shared" si="4"/>
        <v>23.448158282906149</v>
      </c>
      <c r="Y65">
        <f t="shared" si="5"/>
        <v>11.889795543974286</v>
      </c>
    </row>
    <row r="66" spans="2:25" x14ac:dyDescent="0.2">
      <c r="B66" t="s">
        <v>729</v>
      </c>
      <c r="C66">
        <v>24</v>
      </c>
      <c r="D66">
        <v>3.3</v>
      </c>
      <c r="E66">
        <v>19</v>
      </c>
      <c r="G66">
        <v>18.100000000000001</v>
      </c>
      <c r="I66" t="s">
        <v>737</v>
      </c>
      <c r="K66">
        <f t="shared" si="0"/>
        <v>1.65</v>
      </c>
      <c r="N66">
        <v>19</v>
      </c>
      <c r="O66" t="s">
        <v>729</v>
      </c>
      <c r="P66">
        <v>29</v>
      </c>
      <c r="Q66">
        <v>6.6</v>
      </c>
      <c r="R66">
        <v>17.899999999999999</v>
      </c>
      <c r="S66">
        <v>8.65</v>
      </c>
      <c r="T66">
        <v>25.5</v>
      </c>
      <c r="U66">
        <v>23</v>
      </c>
      <c r="V66" t="s">
        <v>731</v>
      </c>
      <c r="W66" s="5"/>
      <c r="X66" s="5">
        <f t="shared" si="4"/>
        <v>23.530887705496053</v>
      </c>
      <c r="Y66">
        <f t="shared" si="5"/>
        <v>31.706896351906614</v>
      </c>
    </row>
    <row r="67" spans="2:25" x14ac:dyDescent="0.2">
      <c r="B67" t="s">
        <v>729</v>
      </c>
      <c r="C67">
        <v>36</v>
      </c>
      <c r="D67">
        <v>3</v>
      </c>
      <c r="E67">
        <v>22.2</v>
      </c>
      <c r="G67">
        <v>20.399999999999999</v>
      </c>
      <c r="I67" t="s">
        <v>737</v>
      </c>
      <c r="K67">
        <f t="shared" si="0"/>
        <v>1.5</v>
      </c>
      <c r="N67">
        <v>11</v>
      </c>
      <c r="O67" t="s">
        <v>729</v>
      </c>
      <c r="P67">
        <v>9</v>
      </c>
      <c r="Q67">
        <v>2.6</v>
      </c>
      <c r="R67">
        <v>6.16</v>
      </c>
      <c r="S67">
        <v>0.28000000000000003</v>
      </c>
      <c r="T67">
        <v>8</v>
      </c>
      <c r="U67">
        <v>4.5999999999999996</v>
      </c>
      <c r="V67" t="s">
        <v>731</v>
      </c>
      <c r="W67" s="5"/>
      <c r="X67" s="5">
        <f t="shared" si="4"/>
        <v>13.130595120044958</v>
      </c>
      <c r="Y67">
        <f t="shared" si="5"/>
        <v>48.589196327594586</v>
      </c>
    </row>
    <row r="68" spans="2:25" x14ac:dyDescent="0.2">
      <c r="B68" t="s">
        <v>729</v>
      </c>
      <c r="C68">
        <v>36</v>
      </c>
      <c r="D68">
        <v>2.8</v>
      </c>
      <c r="E68">
        <v>24.4</v>
      </c>
      <c r="G68">
        <v>23</v>
      </c>
      <c r="I68" t="s">
        <v>737</v>
      </c>
      <c r="K68">
        <f t="shared" ref="K68:K77" si="6">D68/2</f>
        <v>1.4</v>
      </c>
      <c r="N68">
        <v>23</v>
      </c>
      <c r="O68" t="s">
        <v>729</v>
      </c>
      <c r="P68">
        <v>39</v>
      </c>
      <c r="Q68">
        <v>6</v>
      </c>
      <c r="R68">
        <v>20.5</v>
      </c>
      <c r="S68">
        <v>8.75</v>
      </c>
      <c r="T68">
        <v>19.8</v>
      </c>
      <c r="U68">
        <v>10.51</v>
      </c>
      <c r="V68" t="s">
        <v>731</v>
      </c>
      <c r="X68" s="5">
        <f t="shared" si="4"/>
        <v>17.689753400069982</v>
      </c>
      <c r="Y68">
        <f t="shared" si="5"/>
        <v>7.8974859524182257</v>
      </c>
    </row>
    <row r="69" spans="2:25" x14ac:dyDescent="0.2">
      <c r="B69" t="s">
        <v>729</v>
      </c>
      <c r="C69">
        <v>41</v>
      </c>
      <c r="D69">
        <v>3.6</v>
      </c>
      <c r="E69">
        <v>25.8</v>
      </c>
      <c r="G69">
        <v>25.2</v>
      </c>
      <c r="I69" t="s">
        <v>737</v>
      </c>
      <c r="K69">
        <f t="shared" si="6"/>
        <v>1.8</v>
      </c>
      <c r="N69">
        <v>24</v>
      </c>
      <c r="O69" t="s">
        <v>729</v>
      </c>
      <c r="P69">
        <v>39</v>
      </c>
      <c r="Q69">
        <v>5.2</v>
      </c>
      <c r="R69">
        <v>19.829999999999998</v>
      </c>
      <c r="S69">
        <v>10.16</v>
      </c>
      <c r="T69">
        <v>20.5</v>
      </c>
      <c r="U69">
        <v>8.4600000000000009</v>
      </c>
      <c r="V69" t="s">
        <v>731</v>
      </c>
      <c r="X69" s="5">
        <f t="shared" si="4"/>
        <v>16.353783720743646</v>
      </c>
      <c r="Y69">
        <f t="shared" si="5"/>
        <v>12.084079620166877</v>
      </c>
    </row>
    <row r="70" spans="2:25" x14ac:dyDescent="0.2">
      <c r="B70" t="s">
        <v>729</v>
      </c>
      <c r="C70">
        <v>41</v>
      </c>
      <c r="D70">
        <v>4.6500000000000004</v>
      </c>
      <c r="E70">
        <v>28.2</v>
      </c>
      <c r="G70">
        <v>28.1</v>
      </c>
      <c r="I70" t="s">
        <v>737</v>
      </c>
      <c r="K70">
        <f t="shared" si="6"/>
        <v>2.3250000000000002</v>
      </c>
      <c r="N70">
        <v>8</v>
      </c>
      <c r="O70" t="s">
        <v>729</v>
      </c>
      <c r="P70">
        <v>19</v>
      </c>
      <c r="Q70">
        <v>2.8</v>
      </c>
      <c r="R70">
        <v>9.2200000000000006</v>
      </c>
      <c r="S70">
        <v>4.24</v>
      </c>
      <c r="T70">
        <v>8.8000000000000007</v>
      </c>
      <c r="U70">
        <v>1.55</v>
      </c>
      <c r="V70" t="s">
        <v>731</v>
      </c>
      <c r="X70" s="5">
        <f t="shared" si="4"/>
        <v>8.8989529528249811</v>
      </c>
      <c r="Y70">
        <f t="shared" si="5"/>
        <v>0.10307120649979921</v>
      </c>
    </row>
    <row r="71" spans="2:25" x14ac:dyDescent="0.2">
      <c r="B71" t="s">
        <v>729</v>
      </c>
      <c r="C71">
        <v>41</v>
      </c>
      <c r="D71">
        <v>8.1</v>
      </c>
      <c r="E71">
        <v>30</v>
      </c>
      <c r="G71">
        <v>46.3</v>
      </c>
      <c r="I71" t="s">
        <v>737</v>
      </c>
      <c r="K71">
        <f t="shared" si="6"/>
        <v>4.05</v>
      </c>
      <c r="N71">
        <v>9</v>
      </c>
      <c r="O71" t="s">
        <v>729</v>
      </c>
      <c r="P71">
        <v>19</v>
      </c>
      <c r="Q71">
        <v>3</v>
      </c>
      <c r="R71">
        <v>10.95</v>
      </c>
      <c r="S71">
        <v>4.2300000000000004</v>
      </c>
      <c r="T71">
        <v>8.9</v>
      </c>
      <c r="U71">
        <v>2.36</v>
      </c>
      <c r="V71" t="s">
        <v>731</v>
      </c>
      <c r="X71" s="5">
        <f t="shared" si="4"/>
        <v>10.338773613108989</v>
      </c>
      <c r="Y71">
        <f t="shared" si="5"/>
        <v>0.37359769603183884</v>
      </c>
    </row>
    <row r="72" spans="2:25" x14ac:dyDescent="0.2">
      <c r="B72" t="s">
        <v>729</v>
      </c>
      <c r="C72">
        <v>42</v>
      </c>
      <c r="D72">
        <v>3.1</v>
      </c>
      <c r="E72">
        <v>22.6</v>
      </c>
      <c r="G72">
        <v>18.3</v>
      </c>
      <c r="I72" t="s">
        <v>737</v>
      </c>
      <c r="K72">
        <f t="shared" si="6"/>
        <v>1.55</v>
      </c>
      <c r="N72">
        <v>15</v>
      </c>
      <c r="O72" t="s">
        <v>729</v>
      </c>
      <c r="P72">
        <v>9</v>
      </c>
      <c r="Q72">
        <v>3</v>
      </c>
      <c r="R72">
        <v>4.7699999999999996</v>
      </c>
      <c r="S72">
        <v>0.25</v>
      </c>
      <c r="T72">
        <v>5.9</v>
      </c>
      <c r="U72">
        <v>3.44</v>
      </c>
      <c r="V72" t="s">
        <v>731</v>
      </c>
      <c r="X72" s="5">
        <f t="shared" si="4"/>
        <v>11.830772610280638</v>
      </c>
      <c r="Y72">
        <f t="shared" si="5"/>
        <v>49.854509854089258</v>
      </c>
    </row>
    <row r="73" spans="2:25" x14ac:dyDescent="0.2">
      <c r="B73" t="s">
        <v>729</v>
      </c>
      <c r="C73">
        <v>42</v>
      </c>
      <c r="D73">
        <v>3.55</v>
      </c>
      <c r="E73">
        <v>24</v>
      </c>
      <c r="G73">
        <v>23.2</v>
      </c>
      <c r="I73" t="s">
        <v>737</v>
      </c>
      <c r="K73">
        <f t="shared" si="6"/>
        <v>1.7749999999999999</v>
      </c>
      <c r="N73">
        <v>13</v>
      </c>
      <c r="O73" t="s">
        <v>729</v>
      </c>
      <c r="P73">
        <v>9</v>
      </c>
      <c r="Q73">
        <v>2.4</v>
      </c>
      <c r="R73">
        <v>4.3</v>
      </c>
      <c r="S73">
        <v>0.24</v>
      </c>
      <c r="T73">
        <v>4.2</v>
      </c>
      <c r="U73">
        <v>2.17</v>
      </c>
      <c r="V73" t="s">
        <v>731</v>
      </c>
      <c r="X73" s="5">
        <f t="shared" si="4"/>
        <v>10.033462605586758</v>
      </c>
      <c r="Y73">
        <f t="shared" si="5"/>
        <v>32.872593449661693</v>
      </c>
    </row>
    <row r="74" spans="2:25" x14ac:dyDescent="0.2">
      <c r="B74" t="s">
        <v>729</v>
      </c>
      <c r="C74">
        <v>42</v>
      </c>
      <c r="D74">
        <v>4.5999999999999996</v>
      </c>
      <c r="E74">
        <v>27</v>
      </c>
      <c r="G74">
        <v>28.4</v>
      </c>
      <c r="I74" t="s">
        <v>737</v>
      </c>
      <c r="K74">
        <f t="shared" si="6"/>
        <v>2.2999999999999998</v>
      </c>
      <c r="N74">
        <v>14</v>
      </c>
      <c r="O74" t="s">
        <v>729</v>
      </c>
      <c r="P74">
        <v>9</v>
      </c>
      <c r="Q74">
        <v>2</v>
      </c>
      <c r="R74">
        <v>4</v>
      </c>
      <c r="S74">
        <v>0.36</v>
      </c>
      <c r="T74">
        <v>5.0999999999999996</v>
      </c>
      <c r="U74">
        <v>2.76</v>
      </c>
      <c r="V74" t="s">
        <v>731</v>
      </c>
      <c r="X74" s="5">
        <f t="shared" si="4"/>
        <v>10.933875788217696</v>
      </c>
      <c r="Y74">
        <f t="shared" si="5"/>
        <v>48.078633446431574</v>
      </c>
    </row>
    <row r="75" spans="2:25" x14ac:dyDescent="0.2">
      <c r="B75" t="s">
        <v>729</v>
      </c>
      <c r="C75">
        <v>42</v>
      </c>
      <c r="D75">
        <v>4.3499999999999996</v>
      </c>
      <c r="E75">
        <v>28.4</v>
      </c>
      <c r="G75">
        <v>33.5</v>
      </c>
      <c r="I75" t="s">
        <v>737</v>
      </c>
      <c r="K75">
        <f t="shared" si="6"/>
        <v>2.1749999999999998</v>
      </c>
      <c r="N75">
        <v>17</v>
      </c>
      <c r="O75" t="s">
        <v>729</v>
      </c>
      <c r="P75">
        <v>29</v>
      </c>
      <c r="Q75">
        <v>4.2</v>
      </c>
      <c r="R75">
        <v>15.9</v>
      </c>
      <c r="S75">
        <v>8.39</v>
      </c>
      <c r="T75">
        <v>16.3</v>
      </c>
      <c r="U75">
        <v>6.56</v>
      </c>
      <c r="V75" t="s">
        <v>731</v>
      </c>
      <c r="X75" s="5">
        <f t="shared" si="4"/>
        <v>14.919240781236724</v>
      </c>
      <c r="Y75">
        <f t="shared" si="5"/>
        <v>0.96188864518915296</v>
      </c>
    </row>
    <row r="76" spans="2:25" x14ac:dyDescent="0.2">
      <c r="B76" t="s">
        <v>729</v>
      </c>
      <c r="C76">
        <v>45</v>
      </c>
      <c r="D76">
        <v>2.65</v>
      </c>
      <c r="E76">
        <v>21.6</v>
      </c>
      <c r="G76">
        <v>20.5</v>
      </c>
      <c r="I76" t="s">
        <v>737</v>
      </c>
      <c r="K76">
        <f t="shared" si="6"/>
        <v>1.325</v>
      </c>
      <c r="N76">
        <v>22</v>
      </c>
      <c r="O76" t="s">
        <v>729</v>
      </c>
      <c r="P76">
        <v>39</v>
      </c>
      <c r="Q76">
        <v>4.8</v>
      </c>
      <c r="R76">
        <v>19</v>
      </c>
      <c r="S76">
        <v>10.27</v>
      </c>
      <c r="T76">
        <v>17.600000000000001</v>
      </c>
      <c r="U76">
        <v>5.66</v>
      </c>
      <c r="V76" t="s">
        <v>731</v>
      </c>
      <c r="X76" s="5">
        <f t="shared" si="4"/>
        <v>14.1469987446232</v>
      </c>
      <c r="Y76">
        <f t="shared" si="5"/>
        <v>23.551621184688791</v>
      </c>
    </row>
    <row r="77" spans="2:25" x14ac:dyDescent="0.2">
      <c r="B77" t="s">
        <v>729</v>
      </c>
      <c r="C77">
        <v>45</v>
      </c>
      <c r="D77">
        <v>2.75</v>
      </c>
      <c r="E77">
        <v>23</v>
      </c>
      <c r="G77">
        <v>24.3</v>
      </c>
      <c r="I77" t="s">
        <v>737</v>
      </c>
      <c r="K77">
        <f t="shared" si="6"/>
        <v>1.375</v>
      </c>
      <c r="N77">
        <v>18</v>
      </c>
      <c r="O77" t="s">
        <v>729</v>
      </c>
      <c r="P77">
        <v>29</v>
      </c>
      <c r="Q77">
        <v>2.8</v>
      </c>
      <c r="R77">
        <v>14.2</v>
      </c>
      <c r="S77">
        <v>9.2100000000000009</v>
      </c>
      <c r="T77">
        <v>12.2</v>
      </c>
      <c r="U77">
        <v>2.1800000000000002</v>
      </c>
      <c r="V77" t="s">
        <v>731</v>
      </c>
      <c r="X77" s="5">
        <f t="shared" si="4"/>
        <v>10.049946224524348</v>
      </c>
      <c r="Y77">
        <f t="shared" si="5"/>
        <v>17.22294633933971</v>
      </c>
    </row>
    <row r="78" spans="2:25" x14ac:dyDescent="0.2">
      <c r="B78" t="s">
        <v>729</v>
      </c>
      <c r="E78">
        <v>1.7472000000000003</v>
      </c>
      <c r="G78">
        <v>2</v>
      </c>
      <c r="H78">
        <v>0.18882084078150019</v>
      </c>
      <c r="I78" t="s">
        <v>739</v>
      </c>
      <c r="N78">
        <v>7</v>
      </c>
      <c r="O78" t="s">
        <v>729</v>
      </c>
      <c r="P78">
        <v>19</v>
      </c>
      <c r="Q78">
        <v>4</v>
      </c>
      <c r="R78">
        <v>9.41</v>
      </c>
      <c r="S78">
        <v>4.21</v>
      </c>
      <c r="T78">
        <v>10.5</v>
      </c>
      <c r="U78">
        <v>3.68</v>
      </c>
      <c r="V78" t="s">
        <v>731</v>
      </c>
      <c r="X78" s="5">
        <f t="shared" si="4"/>
        <v>12.120203306339297</v>
      </c>
      <c r="Y78">
        <f t="shared" si="5"/>
        <v>7.3452019616924575</v>
      </c>
    </row>
    <row r="79" spans="2:25" x14ac:dyDescent="0.2">
      <c r="B79" t="s">
        <v>729</v>
      </c>
      <c r="E79">
        <v>2.3933</v>
      </c>
      <c r="G79">
        <v>3</v>
      </c>
      <c r="H79">
        <v>0.37634067436052193</v>
      </c>
      <c r="I79" t="s">
        <v>739</v>
      </c>
      <c r="N79">
        <v>16</v>
      </c>
      <c r="O79" t="s">
        <v>729</v>
      </c>
      <c r="P79">
        <v>29</v>
      </c>
      <c r="Q79">
        <v>3.2</v>
      </c>
      <c r="R79">
        <v>14.78</v>
      </c>
      <c r="S79">
        <v>6.85</v>
      </c>
      <c r="T79">
        <v>11.9</v>
      </c>
      <c r="U79">
        <v>3.93</v>
      </c>
      <c r="V79" t="s">
        <v>731</v>
      </c>
      <c r="X79" s="5">
        <f t="shared" si="4"/>
        <v>12.409252302883436</v>
      </c>
      <c r="Y79">
        <f t="shared" si="5"/>
        <v>5.6204446433834878</v>
      </c>
    </row>
    <row r="80" spans="2:25" x14ac:dyDescent="0.2">
      <c r="B80" t="s">
        <v>729</v>
      </c>
      <c r="E80">
        <v>3.0394000000000005</v>
      </c>
      <c r="G80">
        <v>4</v>
      </c>
      <c r="H80">
        <v>0.61390610146800206</v>
      </c>
      <c r="I80" t="s">
        <v>739</v>
      </c>
      <c r="N80" t="s">
        <v>718</v>
      </c>
      <c r="O80" t="s">
        <v>729</v>
      </c>
      <c r="P80">
        <v>20</v>
      </c>
      <c r="R80" s="80">
        <v>9.4</v>
      </c>
      <c r="S80" s="80"/>
      <c r="T80" s="80">
        <v>6.2</v>
      </c>
      <c r="U80" s="80">
        <v>0.5</v>
      </c>
      <c r="V80" t="s">
        <v>733</v>
      </c>
      <c r="X80" s="5">
        <f t="shared" si="4"/>
        <v>5.9544573221237789</v>
      </c>
      <c r="Y80">
        <f t="shared" si="5"/>
        <v>11.871764345066444</v>
      </c>
    </row>
    <row r="81" spans="2:32" x14ac:dyDescent="0.2">
      <c r="B81" t="s">
        <v>729</v>
      </c>
      <c r="E81">
        <v>3.6855000000000002</v>
      </c>
      <c r="G81">
        <v>5</v>
      </c>
      <c r="H81">
        <v>0.89731697144910583</v>
      </c>
      <c r="I81" t="s">
        <v>739</v>
      </c>
      <c r="N81" t="s">
        <v>718</v>
      </c>
      <c r="O81" t="s">
        <v>729</v>
      </c>
      <c r="P81">
        <v>20</v>
      </c>
      <c r="R81" s="80">
        <v>11.8</v>
      </c>
      <c r="S81" s="80"/>
      <c r="T81" s="80">
        <v>9.1999999999999993</v>
      </c>
      <c r="U81" s="80">
        <v>2.2000000000000002</v>
      </c>
      <c r="V81" t="s">
        <v>733</v>
      </c>
      <c r="X81" s="5">
        <f t="shared" si="4"/>
        <v>10.082769778188981</v>
      </c>
      <c r="Y81">
        <f t="shared" si="5"/>
        <v>2.9488796347011252</v>
      </c>
    </row>
    <row r="82" spans="2:32" x14ac:dyDescent="0.2">
      <c r="B82" t="s">
        <v>729</v>
      </c>
      <c r="E82">
        <v>4.3315999999999999</v>
      </c>
      <c r="G82">
        <v>6</v>
      </c>
      <c r="H82">
        <v>1.2235822871261302</v>
      </c>
      <c r="I82" t="s">
        <v>739</v>
      </c>
      <c r="N82" t="s">
        <v>718</v>
      </c>
      <c r="O82" t="s">
        <v>729</v>
      </c>
      <c r="P82">
        <v>20</v>
      </c>
      <c r="R82" s="80">
        <v>13.2</v>
      </c>
      <c r="S82" s="80"/>
      <c r="T82" s="80">
        <v>11.3</v>
      </c>
      <c r="U82" s="80">
        <v>2.9</v>
      </c>
      <c r="V82" t="s">
        <v>733</v>
      </c>
      <c r="X82" s="5">
        <f t="shared" si="4"/>
        <v>11.129129360831271</v>
      </c>
      <c r="Y82">
        <f t="shared" si="5"/>
        <v>4.2885052041710958</v>
      </c>
    </row>
    <row r="83" spans="2:32" x14ac:dyDescent="0.2">
      <c r="B83" t="s">
        <v>729</v>
      </c>
      <c r="E83">
        <v>4.9776999999999996</v>
      </c>
      <c r="G83">
        <v>7</v>
      </c>
      <c r="H83">
        <v>1.5904120976190954</v>
      </c>
      <c r="I83" t="s">
        <v>739</v>
      </c>
      <c r="N83" t="s">
        <v>718</v>
      </c>
      <c r="O83" t="s">
        <v>729</v>
      </c>
      <c r="P83">
        <v>20</v>
      </c>
      <c r="R83" s="80">
        <v>14.8</v>
      </c>
      <c r="S83" s="80"/>
      <c r="T83" s="80">
        <v>13.3</v>
      </c>
      <c r="U83" s="80">
        <v>3.5</v>
      </c>
      <c r="V83" t="s">
        <v>733</v>
      </c>
      <c r="X83" s="5">
        <f t="shared" si="4"/>
        <v>11.904299697912197</v>
      </c>
      <c r="Y83">
        <f t="shared" si="5"/>
        <v>8.3850802395113959</v>
      </c>
      <c r="AA83" s="80">
        <v>9.4</v>
      </c>
      <c r="AB83" s="80"/>
      <c r="AC83" s="80">
        <v>6.2</v>
      </c>
      <c r="AD83" s="80">
        <v>0.5</v>
      </c>
      <c r="AE83" s="5">
        <f>$X$32/($X$33+AD83^$X$34)</f>
        <v>5.9544573221237789</v>
      </c>
      <c r="AF83">
        <f>(AE83-Y83)^2</f>
        <v>5.907927766529891</v>
      </c>
    </row>
    <row r="84" spans="2:32" x14ac:dyDescent="0.2">
      <c r="B84" t="s">
        <v>729</v>
      </c>
      <c r="E84">
        <v>5.623800000000001</v>
      </c>
      <c r="G84">
        <v>8</v>
      </c>
      <c r="H84">
        <v>1.9959698297062447</v>
      </c>
      <c r="I84" t="s">
        <v>739</v>
      </c>
      <c r="N84" t="s">
        <v>718</v>
      </c>
      <c r="O84" t="s">
        <v>729</v>
      </c>
      <c r="P84">
        <v>24</v>
      </c>
      <c r="R84" s="80">
        <v>11.8</v>
      </c>
      <c r="S84" s="80"/>
      <c r="T84" s="80">
        <v>8.6</v>
      </c>
      <c r="U84" s="80">
        <v>1.4</v>
      </c>
      <c r="V84" t="s">
        <v>733</v>
      </c>
      <c r="X84" s="5">
        <f t="shared" si="4"/>
        <v>8.5821717896848302</v>
      </c>
      <c r="Y84">
        <f t="shared" si="5"/>
        <v>10.354418391100133</v>
      </c>
      <c r="AA84" s="80">
        <v>11.8</v>
      </c>
      <c r="AB84" s="80"/>
      <c r="AC84" s="80">
        <v>9.1999999999999993</v>
      </c>
      <c r="AD84" s="80">
        <v>2.2000000000000002</v>
      </c>
      <c r="AE84" s="5">
        <f t="shared" ref="AE84:AE93" si="7">$X$32/($X$33+AD84^$X$34)</f>
        <v>10.082769778188981</v>
      </c>
      <c r="AF84">
        <f t="shared" ref="AF84:AF93" si="8">(AE84-Y84)^2</f>
        <v>7.379296889655286E-2</v>
      </c>
    </row>
    <row r="85" spans="2:32" x14ac:dyDescent="0.2">
      <c r="B85" t="s">
        <v>729</v>
      </c>
      <c r="E85">
        <v>6.2699000000000007</v>
      </c>
      <c r="G85">
        <v>9</v>
      </c>
      <c r="H85">
        <v>2.4387338874605509</v>
      </c>
      <c r="I85" t="s">
        <v>739</v>
      </c>
      <c r="N85" t="s">
        <v>718</v>
      </c>
      <c r="O85" t="s">
        <v>729</v>
      </c>
      <c r="P85">
        <v>24</v>
      </c>
      <c r="R85">
        <v>14.4</v>
      </c>
      <c r="T85">
        <v>10.7</v>
      </c>
      <c r="U85">
        <v>2.1</v>
      </c>
      <c r="V85" t="s">
        <v>733</v>
      </c>
      <c r="X85" s="5">
        <f t="shared" si="4"/>
        <v>9.9167016905291341</v>
      </c>
      <c r="Y85">
        <f t="shared" si="5"/>
        <v>20.099963731704328</v>
      </c>
      <c r="AA85" s="80">
        <v>13.2</v>
      </c>
      <c r="AB85" s="80"/>
      <c r="AC85" s="80">
        <v>11.3</v>
      </c>
      <c r="AD85" s="80">
        <v>2.9</v>
      </c>
      <c r="AE85" s="5">
        <f t="shared" si="7"/>
        <v>11.129129360831271</v>
      </c>
      <c r="AF85">
        <f t="shared" si="8"/>
        <v>80.475869309637389</v>
      </c>
    </row>
    <row r="86" spans="2:32" x14ac:dyDescent="0.2">
      <c r="B86" t="s">
        <v>729</v>
      </c>
      <c r="E86">
        <v>6.9160000000000004</v>
      </c>
      <c r="G86">
        <v>10</v>
      </c>
      <c r="H86">
        <v>2.9174129372766089</v>
      </c>
      <c r="I86" t="s">
        <v>739</v>
      </c>
      <c r="N86" t="s">
        <v>718</v>
      </c>
      <c r="O86" t="s">
        <v>729</v>
      </c>
      <c r="P86">
        <v>24</v>
      </c>
      <c r="R86" s="80">
        <v>15.4</v>
      </c>
      <c r="S86" s="80"/>
      <c r="T86" s="80">
        <v>13.8</v>
      </c>
      <c r="U86" s="80">
        <v>4.7</v>
      </c>
      <c r="V86" t="s">
        <v>733</v>
      </c>
      <c r="X86" s="5">
        <f t="shared" si="4"/>
        <v>13.232429835968262</v>
      </c>
      <c r="Y86">
        <f t="shared" si="5"/>
        <v>4.698360416000579</v>
      </c>
      <c r="AA86" s="80">
        <v>14.8</v>
      </c>
      <c r="AB86" s="80"/>
      <c r="AC86" s="80">
        <v>13.3</v>
      </c>
      <c r="AD86" s="80">
        <v>3.5</v>
      </c>
      <c r="AE86" s="5">
        <f t="shared" si="7"/>
        <v>11.904299697912197</v>
      </c>
      <c r="AF86">
        <f t="shared" si="8"/>
        <v>51.92556093459693</v>
      </c>
    </row>
    <row r="87" spans="2:32" x14ac:dyDescent="0.2">
      <c r="B87" t="s">
        <v>729</v>
      </c>
      <c r="E87">
        <v>7.5621000000000009</v>
      </c>
      <c r="G87">
        <v>11</v>
      </c>
      <c r="H87">
        <v>3.4308905362186213</v>
      </c>
      <c r="I87" t="s">
        <v>739</v>
      </c>
      <c r="N87" t="s">
        <v>718</v>
      </c>
      <c r="O87" t="s">
        <v>729</v>
      </c>
      <c r="P87">
        <v>24</v>
      </c>
      <c r="R87" s="80">
        <v>19</v>
      </c>
      <c r="S87" s="80"/>
      <c r="T87" s="80">
        <v>18.100000000000001</v>
      </c>
      <c r="U87" s="80">
        <v>9.9</v>
      </c>
      <c r="V87" t="s">
        <v>733</v>
      </c>
      <c r="X87" s="5">
        <f t="shared" si="4"/>
        <v>17.310716850010358</v>
      </c>
      <c r="Y87">
        <f t="shared" si="5"/>
        <v>2.8536775608389262</v>
      </c>
      <c r="AA87" s="80">
        <v>11.8</v>
      </c>
      <c r="AB87" s="80"/>
      <c r="AC87" s="80">
        <v>8.6</v>
      </c>
      <c r="AD87" s="80">
        <v>1.4</v>
      </c>
      <c r="AE87" s="5">
        <f t="shared" si="7"/>
        <v>8.5821717896848302</v>
      </c>
      <c r="AF87">
        <f t="shared" si="8"/>
        <v>32.815646129920822</v>
      </c>
    </row>
    <row r="88" spans="2:32" x14ac:dyDescent="0.2">
      <c r="B88" t="s">
        <v>729</v>
      </c>
      <c r="E88">
        <v>8.2081999999999997</v>
      </c>
      <c r="G88">
        <v>12</v>
      </c>
      <c r="H88">
        <v>3.9781870931511061</v>
      </c>
      <c r="I88" t="s">
        <v>739</v>
      </c>
      <c r="N88" t="s">
        <v>718</v>
      </c>
      <c r="O88" t="s">
        <v>729</v>
      </c>
      <c r="P88">
        <v>36</v>
      </c>
      <c r="R88">
        <v>22.2</v>
      </c>
      <c r="T88">
        <v>17.5</v>
      </c>
      <c r="U88">
        <v>3.6</v>
      </c>
      <c r="V88" t="s">
        <v>733</v>
      </c>
      <c r="X88" s="5">
        <f t="shared" si="4"/>
        <v>12.025091174852813</v>
      </c>
      <c r="Y88">
        <f t="shared" si="5"/>
        <v>103.5287696000581</v>
      </c>
      <c r="AA88" s="80">
        <v>15.4</v>
      </c>
      <c r="AB88" s="80"/>
      <c r="AC88" s="80">
        <v>13.8</v>
      </c>
      <c r="AD88" s="80">
        <v>4.7</v>
      </c>
      <c r="AE88" s="5">
        <f t="shared" si="7"/>
        <v>13.232429835968262</v>
      </c>
      <c r="AF88">
        <f t="shared" si="8"/>
        <v>8153.4289747919511</v>
      </c>
    </row>
    <row r="89" spans="2:32" x14ac:dyDescent="0.2">
      <c r="B89" t="s">
        <v>729</v>
      </c>
      <c r="E89">
        <v>8.8543000000000003</v>
      </c>
      <c r="G89">
        <v>13</v>
      </c>
      <c r="H89">
        <v>4.5584326942409819</v>
      </c>
      <c r="I89" t="s">
        <v>739</v>
      </c>
      <c r="N89" t="s">
        <v>718</v>
      </c>
      <c r="O89" t="s">
        <v>729</v>
      </c>
      <c r="P89">
        <v>36</v>
      </c>
      <c r="R89">
        <v>22.2</v>
      </c>
      <c r="T89">
        <v>20.399999999999999</v>
      </c>
      <c r="U89">
        <v>6.7</v>
      </c>
      <c r="V89" t="s">
        <v>733</v>
      </c>
      <c r="X89" s="5">
        <f t="shared" si="4"/>
        <v>15.033243859442821</v>
      </c>
      <c r="Y89">
        <f t="shared" si="5"/>
        <v>51.362393578214018</v>
      </c>
      <c r="AA89" s="80">
        <v>19</v>
      </c>
      <c r="AB89" s="80"/>
      <c r="AC89" s="80">
        <v>18.100000000000001</v>
      </c>
      <c r="AD89" s="80">
        <v>9.9</v>
      </c>
      <c r="AE89" s="5">
        <f t="shared" si="7"/>
        <v>17.310716850010358</v>
      </c>
      <c r="AF89">
        <f t="shared" si="8"/>
        <v>1159.5166880020868</v>
      </c>
    </row>
    <row r="90" spans="2:32" x14ac:dyDescent="0.2">
      <c r="B90" t="s">
        <v>729</v>
      </c>
      <c r="E90">
        <v>9.5003999999999991</v>
      </c>
      <c r="G90">
        <v>14</v>
      </c>
      <c r="H90">
        <v>5.1708470661176387</v>
      </c>
      <c r="I90" t="s">
        <v>739</v>
      </c>
      <c r="N90" t="s">
        <v>718</v>
      </c>
      <c r="O90" t="s">
        <v>729</v>
      </c>
      <c r="P90">
        <v>36</v>
      </c>
      <c r="R90">
        <v>24.4</v>
      </c>
      <c r="T90">
        <v>23</v>
      </c>
      <c r="U90">
        <v>8.1999999999999993</v>
      </c>
      <c r="V90" t="s">
        <v>733</v>
      </c>
      <c r="X90" s="5">
        <f t="shared" si="4"/>
        <v>16.170340057399461</v>
      </c>
      <c r="Y90">
        <f t="shared" si="5"/>
        <v>67.727302770843892</v>
      </c>
      <c r="AA90" s="80">
        <v>30</v>
      </c>
      <c r="AB90" s="80"/>
      <c r="AC90" s="80">
        <v>46.3</v>
      </c>
      <c r="AD90" s="80">
        <v>47.9</v>
      </c>
      <c r="AE90" s="5">
        <f t="shared" si="7"/>
        <v>30.84437002252983</v>
      </c>
      <c r="AF90">
        <f t="shared" si="8"/>
        <v>1360.3507281166578</v>
      </c>
    </row>
    <row r="91" spans="2:32" x14ac:dyDescent="0.2">
      <c r="B91" t="s">
        <v>729</v>
      </c>
      <c r="E91">
        <v>10.146500000000001</v>
      </c>
      <c r="G91">
        <v>15</v>
      </c>
      <c r="H91">
        <v>5.8147244110267762</v>
      </c>
      <c r="I91" t="s">
        <v>739</v>
      </c>
      <c r="N91" t="s">
        <v>718</v>
      </c>
      <c r="O91" t="s">
        <v>729</v>
      </c>
      <c r="P91">
        <v>41</v>
      </c>
      <c r="R91">
        <v>25</v>
      </c>
      <c r="T91">
        <v>23.1</v>
      </c>
      <c r="U91">
        <v>7.6</v>
      </c>
      <c r="V91" t="s">
        <v>733</v>
      </c>
      <c r="X91" s="5">
        <f t="shared" si="4"/>
        <v>15.732603734159516</v>
      </c>
      <c r="Y91">
        <f t="shared" si="5"/>
        <v>85.884633548114138</v>
      </c>
      <c r="AA91" s="80">
        <v>28.4</v>
      </c>
      <c r="AB91" s="80"/>
      <c r="AC91" s="80">
        <v>33.5</v>
      </c>
      <c r="AD91" s="80">
        <v>31.2</v>
      </c>
      <c r="AE91" s="5">
        <f t="shared" si="7"/>
        <v>26.32059682829961</v>
      </c>
      <c r="AF91">
        <f t="shared" si="8"/>
        <v>3547.874470359413</v>
      </c>
    </row>
    <row r="92" spans="2:32" x14ac:dyDescent="0.2">
      <c r="B92" t="s">
        <v>729</v>
      </c>
      <c r="E92">
        <v>10.792600000000002</v>
      </c>
      <c r="G92">
        <v>16</v>
      </c>
      <c r="H92">
        <v>6.4894216747008882</v>
      </c>
      <c r="I92" t="s">
        <v>739</v>
      </c>
      <c r="N92" t="s">
        <v>718</v>
      </c>
      <c r="O92" t="s">
        <v>729</v>
      </c>
      <c r="P92">
        <v>41</v>
      </c>
      <c r="R92">
        <v>25.8</v>
      </c>
      <c r="T92">
        <v>25.2</v>
      </c>
      <c r="U92">
        <v>8.6</v>
      </c>
      <c r="V92" t="s">
        <v>733</v>
      </c>
      <c r="X92" s="5">
        <f t="shared" si="4"/>
        <v>16.451099275446246</v>
      </c>
      <c r="Y92">
        <f t="shared" si="5"/>
        <v>87.401944757561708</v>
      </c>
      <c r="AA92" s="80">
        <v>18.8</v>
      </c>
      <c r="AB92" s="80"/>
      <c r="AC92" s="80"/>
      <c r="AD92" s="84">
        <v>9.3333333333333339</v>
      </c>
      <c r="AE92" s="5">
        <f t="shared" si="7"/>
        <v>16.945278216348139</v>
      </c>
      <c r="AF92">
        <f t="shared" si="8"/>
        <v>4964.1418600997631</v>
      </c>
    </row>
    <row r="93" spans="2:32" x14ac:dyDescent="0.2">
      <c r="B93" t="s">
        <v>729</v>
      </c>
      <c r="E93">
        <v>11.438700000000001</v>
      </c>
      <c r="G93">
        <v>17</v>
      </c>
      <c r="H93">
        <v>7.1943492985184498</v>
      </c>
      <c r="I93" t="s">
        <v>739</v>
      </c>
      <c r="N93" t="s">
        <v>718</v>
      </c>
      <c r="O93" t="s">
        <v>729</v>
      </c>
      <c r="P93">
        <v>41</v>
      </c>
      <c r="R93">
        <v>28.2</v>
      </c>
      <c r="T93">
        <v>28.1</v>
      </c>
      <c r="U93">
        <v>12.9</v>
      </c>
      <c r="V93" t="s">
        <v>733</v>
      </c>
      <c r="X93" s="5">
        <f t="shared" si="4"/>
        <v>19.055094897500293</v>
      </c>
      <c r="Y93">
        <f t="shared" si="5"/>
        <v>83.629289333725154</v>
      </c>
      <c r="AA93" s="80">
        <v>15.3</v>
      </c>
      <c r="AB93" s="80"/>
      <c r="AC93" s="80">
        <v>14.3</v>
      </c>
      <c r="AD93" s="84">
        <v>6.1</v>
      </c>
      <c r="AE93" s="5">
        <f t="shared" si="7"/>
        <v>14.533504897103763</v>
      </c>
      <c r="AF93">
        <f t="shared" si="8"/>
        <v>4774.2274269120499</v>
      </c>
    </row>
    <row r="94" spans="2:32" x14ac:dyDescent="0.2">
      <c r="B94" t="s">
        <v>729</v>
      </c>
      <c r="E94">
        <v>12.084800000000001</v>
      </c>
      <c r="G94">
        <v>18</v>
      </c>
      <c r="H94">
        <v>7.9289638112632277</v>
      </c>
      <c r="I94" t="s">
        <v>739</v>
      </c>
      <c r="N94" t="s">
        <v>718</v>
      </c>
      <c r="O94" t="s">
        <v>729</v>
      </c>
      <c r="P94">
        <v>41</v>
      </c>
      <c r="R94" s="80">
        <v>30</v>
      </c>
      <c r="S94" s="80"/>
      <c r="T94" s="80">
        <v>46.3</v>
      </c>
      <c r="U94" s="80">
        <v>47.9</v>
      </c>
      <c r="V94" t="s">
        <v>733</v>
      </c>
      <c r="X94" s="5">
        <f t="shared" si="4"/>
        <v>30.84437002252983</v>
      </c>
      <c r="Y94">
        <f t="shared" si="5"/>
        <v>0.71296073494702572</v>
      </c>
      <c r="AF94">
        <f>SUM(AF83:AF93)</f>
        <v>24130.738945391502</v>
      </c>
    </row>
    <row r="95" spans="2:32" x14ac:dyDescent="0.2">
      <c r="B95" t="s">
        <v>729</v>
      </c>
      <c r="E95">
        <v>12.7309</v>
      </c>
      <c r="G95">
        <v>19</v>
      </c>
      <c r="H95">
        <v>8.6927618104141544</v>
      </c>
      <c r="I95" t="s">
        <v>739</v>
      </c>
      <c r="N95" t="s">
        <v>718</v>
      </c>
      <c r="O95" t="s">
        <v>729</v>
      </c>
      <c r="P95">
        <v>42</v>
      </c>
      <c r="R95">
        <v>22.6</v>
      </c>
      <c r="T95">
        <v>18.3</v>
      </c>
      <c r="U95">
        <v>4.5</v>
      </c>
      <c r="V95" t="s">
        <v>733</v>
      </c>
      <c r="X95" s="5">
        <f t="shared" si="4"/>
        <v>13.027352338535929</v>
      </c>
      <c r="Y95">
        <f t="shared" si="5"/>
        <v>91.635583250533585</v>
      </c>
    </row>
    <row r="96" spans="2:32" x14ac:dyDescent="0.2">
      <c r="B96" t="s">
        <v>729</v>
      </c>
      <c r="E96">
        <v>13.377000000000001</v>
      </c>
      <c r="G96">
        <v>20</v>
      </c>
      <c r="H96">
        <v>9.4852750113973165</v>
      </c>
      <c r="I96" t="s">
        <v>739</v>
      </c>
      <c r="N96" t="s">
        <v>718</v>
      </c>
      <c r="O96" t="s">
        <v>729</v>
      </c>
      <c r="P96">
        <v>42</v>
      </c>
      <c r="R96">
        <v>24</v>
      </c>
      <c r="T96">
        <v>23.2</v>
      </c>
      <c r="U96">
        <v>10.8</v>
      </c>
      <c r="V96" t="s">
        <v>733</v>
      </c>
      <c r="X96" s="5">
        <f t="shared" si="4"/>
        <v>17.86513263454675</v>
      </c>
      <c r="Y96">
        <f t="shared" si="5"/>
        <v>37.6365975917033</v>
      </c>
    </row>
    <row r="97" spans="2:25" x14ac:dyDescent="0.2">
      <c r="B97" t="s">
        <v>729</v>
      </c>
      <c r="E97">
        <v>14.023100000000001</v>
      </c>
      <c r="G97">
        <v>21</v>
      </c>
      <c r="H97">
        <v>10.306066130325689</v>
      </c>
      <c r="I97" t="s">
        <v>739</v>
      </c>
      <c r="N97" t="s">
        <v>718</v>
      </c>
      <c r="O97" t="s">
        <v>729</v>
      </c>
      <c r="P97">
        <v>42</v>
      </c>
      <c r="R97">
        <v>27</v>
      </c>
      <c r="T97">
        <v>28.4</v>
      </c>
      <c r="U97">
        <v>13.8</v>
      </c>
      <c r="V97" t="s">
        <v>733</v>
      </c>
      <c r="X97" s="5">
        <f t="shared" si="4"/>
        <v>19.528006155224784</v>
      </c>
      <c r="Y97">
        <f t="shared" si="5"/>
        <v>55.830692016358718</v>
      </c>
    </row>
    <row r="98" spans="2:25" x14ac:dyDescent="0.2">
      <c r="B98" t="s">
        <v>729</v>
      </c>
      <c r="E98">
        <v>14.669200000000002</v>
      </c>
      <c r="G98">
        <v>22</v>
      </c>
      <c r="H98">
        <v>11.154725426155384</v>
      </c>
      <c r="I98" t="s">
        <v>739</v>
      </c>
      <c r="N98" t="s">
        <v>718</v>
      </c>
      <c r="O98" t="s">
        <v>729</v>
      </c>
      <c r="P98">
        <v>42</v>
      </c>
      <c r="R98" s="80">
        <v>28.4</v>
      </c>
      <c r="S98" s="80"/>
      <c r="T98" s="80">
        <v>33.5</v>
      </c>
      <c r="U98" s="80">
        <v>31.2</v>
      </c>
      <c r="V98" t="s">
        <v>733</v>
      </c>
      <c r="X98" s="5">
        <f t="shared" si="4"/>
        <v>26.32059682829961</v>
      </c>
      <c r="Y98">
        <f t="shared" si="5"/>
        <v>4.3239175504776339</v>
      </c>
    </row>
    <row r="99" spans="2:25" x14ac:dyDescent="0.2">
      <c r="B99" t="s">
        <v>729</v>
      </c>
      <c r="E99">
        <v>15.315299999999999</v>
      </c>
      <c r="G99">
        <v>23</v>
      </c>
      <c r="H99">
        <v>12.030867770942375</v>
      </c>
      <c r="I99" t="s">
        <v>739</v>
      </c>
      <c r="N99" t="s">
        <v>718</v>
      </c>
      <c r="O99" t="s">
        <v>729</v>
      </c>
      <c r="P99">
        <v>45</v>
      </c>
      <c r="R99">
        <v>21.6</v>
      </c>
      <c r="T99">
        <v>20.5</v>
      </c>
      <c r="U99">
        <v>5.5</v>
      </c>
      <c r="V99" t="s">
        <v>733</v>
      </c>
      <c r="X99" s="5">
        <f t="shared" si="4"/>
        <v>14.001765872375211</v>
      </c>
      <c r="Y99">
        <f t="shared" si="5"/>
        <v>57.73316185820206</v>
      </c>
    </row>
    <row r="100" spans="2:25" x14ac:dyDescent="0.2">
      <c r="B100" t="s">
        <v>729</v>
      </c>
      <c r="E100">
        <v>15.961399999999999</v>
      </c>
      <c r="G100">
        <v>24</v>
      </c>
      <c r="H100">
        <v>12.934130147703479</v>
      </c>
      <c r="I100" t="s">
        <v>739</v>
      </c>
      <c r="N100" t="s">
        <v>718</v>
      </c>
      <c r="O100" t="s">
        <v>729</v>
      </c>
      <c r="P100">
        <v>45</v>
      </c>
      <c r="R100">
        <v>23</v>
      </c>
      <c r="T100">
        <v>24.3</v>
      </c>
      <c r="U100">
        <v>6.8</v>
      </c>
      <c r="V100" t="s">
        <v>733</v>
      </c>
      <c r="X100" s="5">
        <f t="shared" si="4"/>
        <v>15.113760291214678</v>
      </c>
      <c r="Y100">
        <f t="shared" si="5"/>
        <v>62.192776744422396</v>
      </c>
    </row>
    <row r="101" spans="2:25" x14ac:dyDescent="0.2">
      <c r="B101" t="s">
        <v>729</v>
      </c>
      <c r="E101">
        <v>16.607500000000002</v>
      </c>
      <c r="G101">
        <v>25</v>
      </c>
      <c r="H101">
        <v>13.864169497967675</v>
      </c>
      <c r="I101" t="s">
        <v>739</v>
      </c>
      <c r="N101" t="s">
        <v>718</v>
      </c>
      <c r="O101" t="s">
        <v>729</v>
      </c>
      <c r="P101">
        <v>50</v>
      </c>
      <c r="U101" s="3">
        <v>15.045045045045045</v>
      </c>
      <c r="V101" t="s">
        <v>734</v>
      </c>
      <c r="X101" s="5">
        <f t="shared" si="4"/>
        <v>20.151570365540415</v>
      </c>
      <c r="Y101">
        <f t="shared" si="5"/>
        <v>406.08578819732668</v>
      </c>
    </row>
    <row r="102" spans="2:25" x14ac:dyDescent="0.2">
      <c r="B102" t="s">
        <v>729</v>
      </c>
      <c r="E102">
        <v>17.253599999999999</v>
      </c>
      <c r="G102">
        <v>26</v>
      </c>
      <c r="H102">
        <v>14.820660857897964</v>
      </c>
      <c r="I102" t="s">
        <v>739</v>
      </c>
      <c r="N102" t="s">
        <v>718</v>
      </c>
      <c r="O102" t="s">
        <v>729</v>
      </c>
      <c r="P102">
        <v>70</v>
      </c>
      <c r="R102">
        <v>36.5</v>
      </c>
      <c r="U102" s="3">
        <v>35.483870967741936</v>
      </c>
      <c r="V102" t="s">
        <v>734</v>
      </c>
      <c r="X102" s="5">
        <f t="shared" si="4"/>
        <v>27.599853195898937</v>
      </c>
      <c r="Y102">
        <f t="shared" si="5"/>
        <v>79.212613134550352</v>
      </c>
    </row>
    <row r="103" spans="2:25" x14ac:dyDescent="0.2">
      <c r="B103" t="s">
        <v>729</v>
      </c>
      <c r="E103">
        <v>17.899699999999999</v>
      </c>
      <c r="G103">
        <v>27</v>
      </c>
      <c r="H103">
        <v>15.803295734521143</v>
      </c>
      <c r="I103" t="s">
        <v>739</v>
      </c>
      <c r="N103" t="s">
        <v>718</v>
      </c>
      <c r="O103" t="s">
        <v>729</v>
      </c>
      <c r="P103">
        <v>18</v>
      </c>
      <c r="R103">
        <v>6</v>
      </c>
      <c r="U103" s="3">
        <v>3.2</v>
      </c>
      <c r="V103" t="s">
        <v>734</v>
      </c>
      <c r="X103" s="5">
        <f t="shared" si="4"/>
        <v>11.528249697413525</v>
      </c>
      <c r="Y103">
        <f t="shared" si="5"/>
        <v>30.561544716952728</v>
      </c>
    </row>
    <row r="104" spans="2:25" x14ac:dyDescent="0.2">
      <c r="B104" t="s">
        <v>729</v>
      </c>
      <c r="E104">
        <v>18.545799999999996</v>
      </c>
      <c r="G104">
        <v>28</v>
      </c>
      <c r="H104">
        <v>16.811780683261059</v>
      </c>
      <c r="I104" t="s">
        <v>739</v>
      </c>
      <c r="N104" t="s">
        <v>718</v>
      </c>
      <c r="O104" t="s">
        <v>729</v>
      </c>
      <c r="P104">
        <v>24</v>
      </c>
      <c r="R104" s="80">
        <v>18.8</v>
      </c>
      <c r="S104" s="80"/>
      <c r="T104" s="80"/>
      <c r="U104" s="84">
        <v>9.3333333333333339</v>
      </c>
      <c r="V104" t="s">
        <v>734</v>
      </c>
      <c r="X104" s="5">
        <f t="shared" si="4"/>
        <v>16.945278216348139</v>
      </c>
      <c r="Y104">
        <f t="shared" si="5"/>
        <v>3.4399928947527414</v>
      </c>
    </row>
    <row r="105" spans="2:25" x14ac:dyDescent="0.2">
      <c r="B105" t="s">
        <v>729</v>
      </c>
      <c r="E105">
        <v>19.191899999999997</v>
      </c>
      <c r="G105">
        <v>29</v>
      </c>
      <c r="H105">
        <v>17.845836055422971</v>
      </c>
      <c r="I105" t="s">
        <v>739</v>
      </c>
      <c r="N105" t="s">
        <v>718</v>
      </c>
      <c r="O105" t="s">
        <v>729</v>
      </c>
      <c r="P105">
        <v>23</v>
      </c>
      <c r="R105" s="80">
        <v>15.3</v>
      </c>
      <c r="S105" s="80"/>
      <c r="T105" s="80">
        <v>14.3</v>
      </c>
      <c r="U105" s="84">
        <v>6.1</v>
      </c>
      <c r="V105" t="s">
        <v>735</v>
      </c>
      <c r="X105" s="5">
        <f t="shared" si="4"/>
        <v>14.533504897103763</v>
      </c>
      <c r="Y105">
        <f t="shared" si="5"/>
        <v>0.58751474276391469</v>
      </c>
    </row>
    <row r="106" spans="2:25" x14ac:dyDescent="0.2">
      <c r="B106" t="s">
        <v>729</v>
      </c>
      <c r="E106">
        <v>19.838000000000001</v>
      </c>
      <c r="G106">
        <v>30</v>
      </c>
      <c r="H106">
        <v>18.905194890086605</v>
      </c>
      <c r="I106" t="s">
        <v>739</v>
      </c>
      <c r="O106" t="s">
        <v>729</v>
      </c>
      <c r="R106">
        <v>1.7472000000000003</v>
      </c>
      <c r="T106">
        <v>2</v>
      </c>
      <c r="U106">
        <v>0.18882084078150019</v>
      </c>
      <c r="X106" s="5"/>
      <c r="Y106">
        <f>SUM(Y57:Y105)</f>
        <v>2316.2473491508276</v>
      </c>
    </row>
    <row r="107" spans="2:25" x14ac:dyDescent="0.2">
      <c r="B107" t="s">
        <v>729</v>
      </c>
      <c r="E107">
        <v>20.484100000000002</v>
      </c>
      <c r="G107">
        <v>31</v>
      </c>
      <c r="H107">
        <v>19.989601929438873</v>
      </c>
      <c r="I107" t="s">
        <v>739</v>
      </c>
      <c r="O107" t="s">
        <v>729</v>
      </c>
      <c r="R107">
        <v>2.3933</v>
      </c>
      <c r="T107">
        <v>3</v>
      </c>
      <c r="U107">
        <v>0.37634067436052193</v>
      </c>
      <c r="X107" s="5"/>
    </row>
    <row r="108" spans="2:25" x14ac:dyDescent="0.2">
      <c r="B108" t="s">
        <v>729</v>
      </c>
      <c r="E108">
        <v>21.130200000000002</v>
      </c>
      <c r="G108">
        <v>32</v>
      </c>
      <c r="H108">
        <v>21.098812740208395</v>
      </c>
      <c r="I108" t="s">
        <v>739</v>
      </c>
      <c r="O108" t="s">
        <v>729</v>
      </c>
      <c r="R108">
        <v>3.0394000000000005</v>
      </c>
      <c r="T108">
        <v>4</v>
      </c>
      <c r="U108">
        <v>0.61390610146800206</v>
      </c>
      <c r="X108" s="5"/>
    </row>
    <row r="109" spans="2:25" x14ac:dyDescent="0.2">
      <c r="B109" t="s">
        <v>729</v>
      </c>
      <c r="E109">
        <v>21.776299999999999</v>
      </c>
      <c r="G109">
        <v>33</v>
      </c>
      <c r="H109">
        <v>22.232592926771215</v>
      </c>
      <c r="I109" t="s">
        <v>739</v>
      </c>
      <c r="O109" t="s">
        <v>729</v>
      </c>
      <c r="R109">
        <v>3.6855000000000002</v>
      </c>
      <c r="T109">
        <v>5</v>
      </c>
      <c r="U109">
        <v>0.89731697144910583</v>
      </c>
      <c r="X109" s="5"/>
    </row>
    <row r="110" spans="2:25" x14ac:dyDescent="0.2">
      <c r="B110" t="s">
        <v>729</v>
      </c>
      <c r="E110">
        <v>22.4224</v>
      </c>
      <c r="G110">
        <v>34</v>
      </c>
      <c r="H110">
        <v>23.39071742384299</v>
      </c>
      <c r="I110" t="s">
        <v>739</v>
      </c>
      <c r="O110" t="s">
        <v>729</v>
      </c>
      <c r="R110">
        <v>4.3315999999999999</v>
      </c>
      <c r="T110">
        <v>6</v>
      </c>
      <c r="U110">
        <v>1.2235822871261302</v>
      </c>
      <c r="X110" s="5"/>
    </row>
    <row r="111" spans="2:25" x14ac:dyDescent="0.2">
      <c r="B111" t="s">
        <v>729</v>
      </c>
      <c r="E111">
        <v>23.0685</v>
      </c>
      <c r="G111">
        <v>35</v>
      </c>
      <c r="H111">
        <v>24.572969858578084</v>
      </c>
      <c r="I111" t="s">
        <v>739</v>
      </c>
      <c r="O111" t="s">
        <v>729</v>
      </c>
      <c r="R111">
        <v>4.9776999999999996</v>
      </c>
      <c r="T111">
        <v>7</v>
      </c>
      <c r="U111">
        <v>1.5904120976190954</v>
      </c>
      <c r="X111" s="5"/>
    </row>
    <row r="112" spans="2:25" x14ac:dyDescent="0.2">
      <c r="B112" t="s">
        <v>729</v>
      </c>
      <c r="E112">
        <v>23.714600000000001</v>
      </c>
      <c r="G112">
        <v>36</v>
      </c>
      <c r="H112">
        <v>25.779141973455246</v>
      </c>
      <c r="I112" t="s">
        <v>739</v>
      </c>
      <c r="O112" t="s">
        <v>729</v>
      </c>
      <c r="R112">
        <v>5.623800000000001</v>
      </c>
      <c r="T112">
        <v>8</v>
      </c>
      <c r="U112">
        <v>1.9959698297062447</v>
      </c>
      <c r="X112" s="5"/>
    </row>
    <row r="113" spans="2:24" x14ac:dyDescent="0.2">
      <c r="B113" t="s">
        <v>729</v>
      </c>
      <c r="E113">
        <v>24.360700000000001</v>
      </c>
      <c r="G113">
        <v>37</v>
      </c>
      <c r="H113">
        <v>27.009033102611955</v>
      </c>
      <c r="I113" t="s">
        <v>739</v>
      </c>
      <c r="O113" t="s">
        <v>729</v>
      </c>
      <c r="R113">
        <v>6.2699000000000007</v>
      </c>
      <c r="T113">
        <v>9</v>
      </c>
      <c r="U113">
        <v>2.4387338874605509</v>
      </c>
      <c r="X113" s="5"/>
    </row>
    <row r="114" spans="2:24" x14ac:dyDescent="0.2">
      <c r="B114" t="s">
        <v>729</v>
      </c>
      <c r="E114">
        <v>25.006799999999998</v>
      </c>
      <c r="G114">
        <v>38</v>
      </c>
      <c r="H114">
        <v>28.262449695352341</v>
      </c>
      <c r="I114" t="s">
        <v>739</v>
      </c>
      <c r="O114" t="s">
        <v>729</v>
      </c>
      <c r="R114">
        <v>6.9160000000000004</v>
      </c>
      <c r="T114">
        <v>10</v>
      </c>
      <c r="U114">
        <v>2.9174129372766089</v>
      </c>
      <c r="X114" s="5"/>
    </row>
    <row r="115" spans="2:24" x14ac:dyDescent="0.2">
      <c r="B115" t="s">
        <v>729</v>
      </c>
      <c r="E115">
        <v>25.652899999999999</v>
      </c>
      <c r="G115">
        <v>39</v>
      </c>
      <c r="H115">
        <v>29.539204881436888</v>
      </c>
      <c r="I115" t="s">
        <v>739</v>
      </c>
      <c r="O115" t="s">
        <v>729</v>
      </c>
      <c r="R115">
        <v>7.5621000000000009</v>
      </c>
      <c r="T115">
        <v>11</v>
      </c>
      <c r="U115">
        <v>3.4308905362186213</v>
      </c>
      <c r="X115" s="5"/>
    </row>
    <row r="116" spans="2:24" x14ac:dyDescent="0.2">
      <c r="B116" t="s">
        <v>729</v>
      </c>
      <c r="E116">
        <v>26.298999999999999</v>
      </c>
      <c r="G116">
        <v>40</v>
      </c>
      <c r="H116">
        <v>30.839118073502963</v>
      </c>
      <c r="I116" t="s">
        <v>739</v>
      </c>
      <c r="O116" t="s">
        <v>729</v>
      </c>
      <c r="R116">
        <v>8.2081999999999997</v>
      </c>
      <c r="T116">
        <v>12</v>
      </c>
      <c r="U116">
        <v>3.9781870931511061</v>
      </c>
      <c r="X116" s="5"/>
    </row>
    <row r="117" spans="2:24" x14ac:dyDescent="0.2">
      <c r="B117" t="s">
        <v>729</v>
      </c>
      <c r="E117">
        <v>26.945099999999996</v>
      </c>
      <c r="G117">
        <v>41</v>
      </c>
      <c r="H117">
        <v>32.16201460258678</v>
      </c>
      <c r="I117" t="s">
        <v>739</v>
      </c>
      <c r="O117" t="s">
        <v>729</v>
      </c>
      <c r="R117">
        <v>8.8543000000000003</v>
      </c>
      <c r="T117">
        <v>13</v>
      </c>
      <c r="U117">
        <v>4.5584326942409819</v>
      </c>
      <c r="X117" s="5"/>
    </row>
    <row r="118" spans="2:24" x14ac:dyDescent="0.2">
      <c r="B118" t="s">
        <v>729</v>
      </c>
      <c r="E118">
        <v>27.591200000000001</v>
      </c>
      <c r="G118">
        <v>42</v>
      </c>
      <c r="H118">
        <v>33.50772538324356</v>
      </c>
      <c r="I118" t="s">
        <v>739</v>
      </c>
      <c r="O118" t="s">
        <v>729</v>
      </c>
      <c r="R118">
        <v>9.5003999999999991</v>
      </c>
      <c r="T118">
        <v>14</v>
      </c>
      <c r="U118">
        <v>5.1708470661176387</v>
      </c>
      <c r="X118" s="5"/>
    </row>
    <row r="119" spans="2:24" x14ac:dyDescent="0.2">
      <c r="B119" t="s">
        <v>729</v>
      </c>
      <c r="E119">
        <v>28.237299999999998</v>
      </c>
      <c r="G119">
        <v>43</v>
      </c>
      <c r="H119">
        <v>34.876086605208464</v>
      </c>
      <c r="I119" t="s">
        <v>739</v>
      </c>
      <c r="O119" t="s">
        <v>729</v>
      </c>
      <c r="R119">
        <v>10.146500000000001</v>
      </c>
      <c r="T119">
        <v>15</v>
      </c>
      <c r="U119">
        <v>5.8147244110267762</v>
      </c>
      <c r="X119" s="5"/>
    </row>
    <row r="120" spans="2:24" x14ac:dyDescent="0.2">
      <c r="B120" t="s">
        <v>729</v>
      </c>
      <c r="E120">
        <v>28.883400000000002</v>
      </c>
      <c r="G120">
        <v>44</v>
      </c>
      <c r="H120">
        <v>36.266939448921143</v>
      </c>
      <c r="I120" t="s">
        <v>739</v>
      </c>
      <c r="O120" t="s">
        <v>729</v>
      </c>
      <c r="R120">
        <v>10.792600000000002</v>
      </c>
      <c r="T120">
        <v>16</v>
      </c>
      <c r="U120">
        <v>6.4894216747008882</v>
      </c>
      <c r="X120" s="5"/>
    </row>
    <row r="121" spans="2:24" x14ac:dyDescent="0.2">
      <c r="B121" t="s">
        <v>729</v>
      </c>
      <c r="E121">
        <v>29.529499999999999</v>
      </c>
      <c r="G121">
        <v>45</v>
      </c>
      <c r="H121">
        <v>37.680129822562243</v>
      </c>
      <c r="I121" t="s">
        <v>739</v>
      </c>
      <c r="O121" t="s">
        <v>729</v>
      </c>
      <c r="R121">
        <v>11.438700000000001</v>
      </c>
      <c r="T121">
        <v>17</v>
      </c>
      <c r="U121">
        <v>7.1943492985184498</v>
      </c>
      <c r="X121" s="5"/>
    </row>
    <row r="122" spans="2:24" x14ac:dyDescent="0.2">
      <c r="B122" t="s">
        <v>729</v>
      </c>
      <c r="E122">
        <v>30.175599999999996</v>
      </c>
      <c r="G122">
        <v>46</v>
      </c>
      <c r="H122">
        <v>39.115508118529107</v>
      </c>
      <c r="I122" t="s">
        <v>739</v>
      </c>
      <c r="O122" t="s">
        <v>729</v>
      </c>
      <c r="R122">
        <v>12.084800000000001</v>
      </c>
      <c r="T122">
        <v>18</v>
      </c>
      <c r="U122">
        <v>7.9289638112632277</v>
      </c>
      <c r="X122" s="5"/>
    </row>
    <row r="123" spans="2:24" x14ac:dyDescent="0.2">
      <c r="B123" t="s">
        <v>729</v>
      </c>
      <c r="E123">
        <v>30.8217</v>
      </c>
      <c r="G123">
        <v>47</v>
      </c>
      <c r="H123">
        <v>40.572928987519063</v>
      </c>
      <c r="I123" t="s">
        <v>739</v>
      </c>
      <c r="O123" t="s">
        <v>729</v>
      </c>
      <c r="R123">
        <v>12.7309</v>
      </c>
      <c r="T123">
        <v>19</v>
      </c>
      <c r="U123">
        <v>8.6927618104141544</v>
      </c>
      <c r="X123" s="5"/>
    </row>
    <row r="124" spans="2:24" x14ac:dyDescent="0.2">
      <c r="B124" t="s">
        <v>729</v>
      </c>
      <c r="E124">
        <v>31.467799999999997</v>
      </c>
      <c r="G124">
        <v>48</v>
      </c>
      <c r="H124">
        <v>42.052251128596602</v>
      </c>
      <c r="I124" t="s">
        <v>739</v>
      </c>
      <c r="O124" t="s">
        <v>729</v>
      </c>
      <c r="R124">
        <v>13.377000000000001</v>
      </c>
      <c r="T124">
        <v>20</v>
      </c>
      <c r="U124">
        <v>9.4852750113973165</v>
      </c>
      <c r="X124" s="5"/>
    </row>
    <row r="125" spans="2:24" x14ac:dyDescent="0.2">
      <c r="B125" t="s">
        <v>729</v>
      </c>
      <c r="E125">
        <v>32.113900000000001</v>
      </c>
      <c r="G125">
        <v>49</v>
      </c>
      <c r="H125">
        <v>43.553337093801517</v>
      </c>
      <c r="I125" t="s">
        <v>739</v>
      </c>
      <c r="O125" t="s">
        <v>729</v>
      </c>
      <c r="R125">
        <v>14.023100000000001</v>
      </c>
      <c r="T125">
        <v>21</v>
      </c>
      <c r="U125">
        <v>10.306066130325689</v>
      </c>
      <c r="X125" s="5"/>
    </row>
    <row r="126" spans="2:24" x14ac:dyDescent="0.2">
      <c r="B126" t="s">
        <v>729</v>
      </c>
      <c r="E126">
        <v>32.76</v>
      </c>
      <c r="G126">
        <v>50</v>
      </c>
      <c r="H126">
        <v>45.076053106012992</v>
      </c>
      <c r="I126" t="s">
        <v>739</v>
      </c>
      <c r="O126" t="s">
        <v>729</v>
      </c>
      <c r="R126">
        <v>14.669200000000002</v>
      </c>
      <c r="T126">
        <v>22</v>
      </c>
      <c r="U126">
        <v>11.154725426155384</v>
      </c>
      <c r="X126" s="5"/>
    </row>
    <row r="127" spans="2:24" x14ac:dyDescent="0.2">
      <c r="B127" t="s">
        <v>729</v>
      </c>
      <c r="E127">
        <v>33.406099999999995</v>
      </c>
      <c r="G127">
        <v>51</v>
      </c>
      <c r="H127">
        <v>46.620268888919917</v>
      </c>
      <c r="I127" t="s">
        <v>739</v>
      </c>
      <c r="O127" t="s">
        <v>729</v>
      </c>
      <c r="R127">
        <v>15.315299999999999</v>
      </c>
      <c r="T127">
        <v>23</v>
      </c>
      <c r="U127">
        <v>12.030867770942375</v>
      </c>
      <c r="X127" s="5"/>
    </row>
    <row r="128" spans="2:24" x14ac:dyDescent="0.2">
      <c r="B128" t="s">
        <v>729</v>
      </c>
      <c r="E128">
        <v>34.052199999999999</v>
      </c>
      <c r="G128">
        <v>52</v>
      </c>
      <c r="H128">
        <v>48.185857508071152</v>
      </c>
      <c r="I128" t="s">
        <v>739</v>
      </c>
      <c r="O128" t="s">
        <v>729</v>
      </c>
      <c r="R128">
        <v>15.961399999999999</v>
      </c>
      <c r="T128">
        <v>24</v>
      </c>
      <c r="U128">
        <v>12.934130147703479</v>
      </c>
      <c r="X128" s="5"/>
    </row>
    <row r="129" spans="2:24" x14ac:dyDescent="0.2">
      <c r="B129" t="s">
        <v>729</v>
      </c>
      <c r="E129">
        <v>34.698299999999996</v>
      </c>
      <c r="G129">
        <v>53</v>
      </c>
      <c r="H129">
        <v>49.772695222081317</v>
      </c>
      <c r="I129" t="s">
        <v>739</v>
      </c>
      <c r="O129" t="s">
        <v>729</v>
      </c>
      <c r="R129">
        <v>16.607500000000002</v>
      </c>
      <c r="T129">
        <v>25</v>
      </c>
      <c r="U129">
        <v>13.864169497967675</v>
      </c>
      <c r="X129" s="5"/>
    </row>
    <row r="130" spans="2:24" x14ac:dyDescent="0.2">
      <c r="B130" t="s">
        <v>729</v>
      </c>
      <c r="E130">
        <v>35.3444</v>
      </c>
      <c r="G130">
        <v>54</v>
      </c>
      <c r="H130">
        <v>51.380661343164178</v>
      </c>
      <c r="I130" t="s">
        <v>739</v>
      </c>
      <c r="O130" t="s">
        <v>729</v>
      </c>
      <c r="R130">
        <v>17.253599999999999</v>
      </c>
      <c r="T130">
        <v>26</v>
      </c>
      <c r="U130">
        <v>14.820660857897964</v>
      </c>
      <c r="X130" s="5"/>
    </row>
    <row r="131" spans="2:24" x14ac:dyDescent="0.2">
      <c r="B131" t="s">
        <v>729</v>
      </c>
      <c r="E131">
        <v>35.990499999999997</v>
      </c>
      <c r="G131">
        <v>55</v>
      </c>
      <c r="H131">
        <v>53.009638106244203</v>
      </c>
      <c r="I131" t="s">
        <v>739</v>
      </c>
      <c r="O131" t="s">
        <v>729</v>
      </c>
      <c r="R131">
        <v>17.899699999999999</v>
      </c>
      <c r="T131">
        <v>27</v>
      </c>
      <c r="U131">
        <v>15.803295734521143</v>
      </c>
      <c r="X131" s="5"/>
    </row>
    <row r="132" spans="2:24" x14ac:dyDescent="0.2">
      <c r="B132" t="s">
        <v>729</v>
      </c>
      <c r="E132">
        <v>36.636599999999994</v>
      </c>
      <c r="G132">
        <v>56</v>
      </c>
      <c r="H132">
        <v>54.659510545972879</v>
      </c>
      <c r="I132" t="s">
        <v>739</v>
      </c>
      <c r="O132" t="s">
        <v>729</v>
      </c>
      <c r="R132">
        <v>18.545799999999996</v>
      </c>
      <c r="T132">
        <v>28</v>
      </c>
      <c r="U132">
        <v>16.811780683261059</v>
      </c>
      <c r="X132" s="5"/>
    </row>
    <row r="133" spans="2:24" x14ac:dyDescent="0.2">
      <c r="B133" t="s">
        <v>729</v>
      </c>
      <c r="E133">
        <v>37.282699999999998</v>
      </c>
      <c r="G133">
        <v>57</v>
      </c>
      <c r="H133">
        <v>56.330166381037152</v>
      </c>
      <c r="I133" t="s">
        <v>739</v>
      </c>
      <c r="O133" t="s">
        <v>729</v>
      </c>
      <c r="R133">
        <v>19.191899999999997</v>
      </c>
      <c r="T133">
        <v>29</v>
      </c>
      <c r="U133">
        <v>17.845836055422971</v>
      </c>
      <c r="X133" s="5"/>
    </row>
    <row r="134" spans="2:24" x14ac:dyDescent="0.2">
      <c r="B134" t="s">
        <v>729</v>
      </c>
      <c r="E134">
        <v>37.928799999999995</v>
      </c>
      <c r="G134">
        <v>58</v>
      </c>
      <c r="H134">
        <v>58.02149590520839</v>
      </c>
      <c r="I134" t="s">
        <v>739</v>
      </c>
      <c r="O134" t="s">
        <v>729</v>
      </c>
      <c r="R134">
        <v>19.838000000000001</v>
      </c>
      <c r="T134">
        <v>30</v>
      </c>
      <c r="U134">
        <v>18.905194890086605</v>
      </c>
      <c r="X134" s="5"/>
    </row>
    <row r="135" spans="2:24" x14ac:dyDescent="0.2">
      <c r="B135" t="s">
        <v>729</v>
      </c>
      <c r="E135">
        <v>38.5749</v>
      </c>
      <c r="G135">
        <v>59</v>
      </c>
      <c r="H135">
        <v>59.733391884627004</v>
      </c>
      <c r="I135" t="s">
        <v>739</v>
      </c>
      <c r="O135" t="s">
        <v>729</v>
      </c>
      <c r="R135">
        <v>20.484100000000002</v>
      </c>
      <c r="T135">
        <v>31</v>
      </c>
      <c r="U135">
        <v>19.989601929438873</v>
      </c>
      <c r="X135" s="5"/>
    </row>
    <row r="136" spans="2:24" x14ac:dyDescent="0.2">
      <c r="B136" t="s">
        <v>729</v>
      </c>
      <c r="E136">
        <v>39.221000000000004</v>
      </c>
      <c r="G136">
        <v>60</v>
      </c>
      <c r="H136">
        <v>61.465749460866512</v>
      </c>
      <c r="I136" t="s">
        <v>739</v>
      </c>
      <c r="O136" t="s">
        <v>729</v>
      </c>
      <c r="R136">
        <v>21.130200000000002</v>
      </c>
      <c r="T136">
        <v>32</v>
      </c>
      <c r="U136">
        <v>21.098812740208395</v>
      </c>
      <c r="X136" s="5"/>
    </row>
    <row r="137" spans="2:24" x14ac:dyDescent="0.2">
      <c r="B137" t="s">
        <v>729</v>
      </c>
      <c r="E137">
        <v>39.867100000000001</v>
      </c>
      <c r="G137">
        <v>61</v>
      </c>
      <c r="H137">
        <v>63.218466059361262</v>
      </c>
      <c r="I137" t="s">
        <v>739</v>
      </c>
      <c r="O137" t="s">
        <v>729</v>
      </c>
      <c r="R137">
        <v>21.776299999999999</v>
      </c>
      <c r="T137">
        <v>33</v>
      </c>
      <c r="U137">
        <v>22.232592926771215</v>
      </c>
      <c r="X137" s="5"/>
    </row>
    <row r="138" spans="2:24" x14ac:dyDescent="0.2">
      <c r="B138" t="s">
        <v>729</v>
      </c>
      <c r="E138">
        <v>40.513200000000005</v>
      </c>
      <c r="G138">
        <v>62</v>
      </c>
      <c r="H138">
        <v>64.991441302815161</v>
      </c>
      <c r="I138" t="s">
        <v>739</v>
      </c>
      <c r="O138" t="s">
        <v>729</v>
      </c>
      <c r="R138">
        <v>22.4224</v>
      </c>
      <c r="T138">
        <v>34</v>
      </c>
      <c r="U138">
        <v>23.39071742384299</v>
      </c>
      <c r="X138" s="5"/>
    </row>
    <row r="139" spans="2:24" x14ac:dyDescent="0.2">
      <c r="B139" t="s">
        <v>729</v>
      </c>
      <c r="E139">
        <v>41.159300000000002</v>
      </c>
      <c r="G139">
        <v>63</v>
      </c>
      <c r="H139">
        <v>66.784576929246228</v>
      </c>
      <c r="I139" t="s">
        <v>739</v>
      </c>
      <c r="O139" t="s">
        <v>729</v>
      </c>
      <c r="R139">
        <v>23.0685</v>
      </c>
      <c r="T139">
        <v>35</v>
      </c>
      <c r="U139">
        <v>24.572969858578084</v>
      </c>
      <c r="X139" s="5"/>
    </row>
    <row r="140" spans="2:24" x14ac:dyDescent="0.2">
      <c r="B140" t="s">
        <v>729</v>
      </c>
      <c r="E140">
        <v>41.805400000000006</v>
      </c>
      <c r="G140">
        <v>64</v>
      </c>
      <c r="H140">
        <v>68.597776714347674</v>
      </c>
      <c r="I140" t="s">
        <v>739</v>
      </c>
      <c r="O140" t="s">
        <v>729</v>
      </c>
      <c r="R140">
        <v>23.714600000000001</v>
      </c>
      <c r="T140">
        <v>36</v>
      </c>
      <c r="U140">
        <v>25.779141973455246</v>
      </c>
      <c r="X140" s="5"/>
    </row>
    <row r="141" spans="2:24" x14ac:dyDescent="0.2">
      <c r="B141" t="s">
        <v>729</v>
      </c>
      <c r="E141">
        <v>42.451500000000003</v>
      </c>
      <c r="G141">
        <v>65</v>
      </c>
      <c r="H141">
        <v>70.430946397873797</v>
      </c>
      <c r="I141" t="s">
        <v>739</v>
      </c>
      <c r="O141" t="s">
        <v>729</v>
      </c>
      <c r="R141">
        <v>24.360700000000001</v>
      </c>
      <c r="T141">
        <v>37</v>
      </c>
      <c r="U141">
        <v>27.009033102611955</v>
      </c>
      <c r="X141" s="5"/>
    </row>
    <row r="142" spans="2:24" x14ac:dyDescent="0.2">
      <c r="O142" t="s">
        <v>729</v>
      </c>
      <c r="R142">
        <v>25.006799999999998</v>
      </c>
      <c r="T142">
        <v>38</v>
      </c>
      <c r="U142">
        <v>28.262449695352341</v>
      </c>
      <c r="X142" s="5"/>
    </row>
    <row r="143" spans="2:24" x14ac:dyDescent="0.2">
      <c r="O143" t="s">
        <v>729</v>
      </c>
      <c r="R143">
        <v>25.652899999999999</v>
      </c>
      <c r="T143">
        <v>39</v>
      </c>
      <c r="U143">
        <v>29.539204881436888</v>
      </c>
      <c r="X143" s="5"/>
    </row>
    <row r="144" spans="2:24" x14ac:dyDescent="0.2">
      <c r="B144" t="s">
        <v>729</v>
      </c>
      <c r="C144" t="s">
        <v>127</v>
      </c>
      <c r="E144">
        <v>22.172335600907026</v>
      </c>
      <c r="G144">
        <v>24.977737626138797</v>
      </c>
      <c r="H144">
        <v>20</v>
      </c>
      <c r="O144" t="s">
        <v>729</v>
      </c>
      <c r="R144">
        <v>26.298999999999999</v>
      </c>
      <c r="T144">
        <v>40</v>
      </c>
      <c r="U144">
        <v>30.839118073502963</v>
      </c>
      <c r="X144" s="5"/>
    </row>
    <row r="145" spans="2:24" x14ac:dyDescent="0.2">
      <c r="B145" t="s">
        <v>729</v>
      </c>
      <c r="C145" t="s">
        <v>128</v>
      </c>
      <c r="E145">
        <v>18.162698412698411</v>
      </c>
      <c r="G145">
        <v>26.702324712498182</v>
      </c>
      <c r="H145">
        <v>22.668810289389068</v>
      </c>
      <c r="O145" t="s">
        <v>729</v>
      </c>
      <c r="R145">
        <v>26.945099999999996</v>
      </c>
      <c r="T145">
        <v>41</v>
      </c>
      <c r="U145">
        <v>32.16201460258678</v>
      </c>
      <c r="X145" s="5"/>
    </row>
    <row r="146" spans="2:24" x14ac:dyDescent="0.2">
      <c r="B146" t="s">
        <v>729</v>
      </c>
      <c r="C146" t="s">
        <v>129</v>
      </c>
      <c r="E146">
        <v>20.206896551724135</v>
      </c>
      <c r="G146">
        <v>27.174968922638982</v>
      </c>
      <c r="H146">
        <v>24.361158432708688</v>
      </c>
      <c r="O146" t="s">
        <v>729</v>
      </c>
      <c r="R146">
        <v>27.591200000000001</v>
      </c>
      <c r="T146">
        <v>42</v>
      </c>
      <c r="U146">
        <v>33.50772538324356</v>
      </c>
      <c r="X146" s="5"/>
    </row>
    <row r="147" spans="2:24" x14ac:dyDescent="0.2">
      <c r="B147" t="s">
        <v>729</v>
      </c>
      <c r="C147" t="s">
        <v>130</v>
      </c>
      <c r="E147">
        <v>26.241269841269844</v>
      </c>
      <c r="G147">
        <v>36.56366395715726</v>
      </c>
      <c r="H147">
        <v>30.124223602484474</v>
      </c>
      <c r="O147" t="s">
        <v>729</v>
      </c>
      <c r="R147">
        <v>28.237299999999998</v>
      </c>
      <c r="T147">
        <v>43</v>
      </c>
      <c r="U147">
        <v>34.876086605208464</v>
      </c>
      <c r="X147" s="5"/>
    </row>
    <row r="148" spans="2:24" x14ac:dyDescent="0.2">
      <c r="B148" t="s">
        <v>729</v>
      </c>
      <c r="C148" t="s">
        <v>131</v>
      </c>
      <c r="E148">
        <v>33.844884488448841</v>
      </c>
      <c r="G148">
        <v>50.714336043815351</v>
      </c>
      <c r="H148">
        <v>39.094650205761319</v>
      </c>
      <c r="O148" t="s">
        <v>729</v>
      </c>
      <c r="R148">
        <v>28.883400000000002</v>
      </c>
      <c r="T148">
        <v>44</v>
      </c>
      <c r="U148">
        <v>36.266939448921143</v>
      </c>
      <c r="X148" s="5"/>
    </row>
    <row r="149" spans="2:24" x14ac:dyDescent="0.2">
      <c r="O149" t="s">
        <v>729</v>
      </c>
      <c r="R149">
        <v>29.529499999999999</v>
      </c>
      <c r="T149">
        <v>45</v>
      </c>
      <c r="U149">
        <v>37.680129822562243</v>
      </c>
      <c r="X149" s="5"/>
    </row>
    <row r="150" spans="2:24" x14ac:dyDescent="0.2">
      <c r="O150" t="s">
        <v>729</v>
      </c>
      <c r="R150">
        <v>30.175599999999996</v>
      </c>
      <c r="T150">
        <v>46</v>
      </c>
      <c r="U150">
        <v>39.115508118529107</v>
      </c>
      <c r="X150" s="5"/>
    </row>
    <row r="151" spans="2:24" x14ac:dyDescent="0.2">
      <c r="O151" t="s">
        <v>729</v>
      </c>
      <c r="R151">
        <v>30.8217</v>
      </c>
      <c r="T151">
        <v>47</v>
      </c>
      <c r="U151">
        <v>40.572928987519063</v>
      </c>
      <c r="X151" s="5"/>
    </row>
    <row r="152" spans="2:24" x14ac:dyDescent="0.2">
      <c r="O152" t="s">
        <v>729</v>
      </c>
      <c r="R152">
        <v>31.467799999999997</v>
      </c>
      <c r="T152">
        <v>48</v>
      </c>
      <c r="U152">
        <v>42.052251128596602</v>
      </c>
      <c r="X152" s="5"/>
    </row>
    <row r="153" spans="2:24" x14ac:dyDescent="0.2">
      <c r="O153" t="s">
        <v>729</v>
      </c>
      <c r="R153">
        <v>32.113900000000001</v>
      </c>
      <c r="T153">
        <v>49</v>
      </c>
      <c r="U153">
        <v>43.553337093801517</v>
      </c>
      <c r="X153" s="5"/>
    </row>
    <row r="154" spans="2:24" x14ac:dyDescent="0.2">
      <c r="O154" t="s">
        <v>729</v>
      </c>
      <c r="R154">
        <v>32.76</v>
      </c>
      <c r="T154">
        <v>50</v>
      </c>
      <c r="U154">
        <v>45.076053106012992</v>
      </c>
      <c r="X154" s="5"/>
    </row>
    <row r="155" spans="2:24" x14ac:dyDescent="0.2">
      <c r="O155" t="s">
        <v>729</v>
      </c>
      <c r="R155">
        <v>33.406099999999995</v>
      </c>
      <c r="T155">
        <v>51</v>
      </c>
      <c r="U155">
        <v>46.620268888919917</v>
      </c>
      <c r="X155" s="5"/>
    </row>
    <row r="156" spans="2:24" x14ac:dyDescent="0.2">
      <c r="O156" t="s">
        <v>729</v>
      </c>
      <c r="R156">
        <v>34.052199999999999</v>
      </c>
      <c r="T156">
        <v>52</v>
      </c>
      <c r="U156">
        <v>48.185857508071152</v>
      </c>
      <c r="X156" s="5"/>
    </row>
    <row r="157" spans="2:24" x14ac:dyDescent="0.2">
      <c r="O157" t="s">
        <v>729</v>
      </c>
      <c r="R157">
        <v>34.698299999999996</v>
      </c>
      <c r="T157">
        <v>53</v>
      </c>
      <c r="U157">
        <v>49.772695222081317</v>
      </c>
      <c r="X157" s="5"/>
    </row>
    <row r="158" spans="2:24" x14ac:dyDescent="0.2">
      <c r="O158" t="s">
        <v>729</v>
      </c>
      <c r="R158">
        <v>35.3444</v>
      </c>
      <c r="T158">
        <v>54</v>
      </c>
      <c r="U158">
        <v>51.380661343164178</v>
      </c>
      <c r="X158" s="5"/>
    </row>
    <row r="159" spans="2:24" x14ac:dyDescent="0.2">
      <c r="O159" t="s">
        <v>729</v>
      </c>
      <c r="R159">
        <v>35.990499999999997</v>
      </c>
      <c r="T159">
        <v>55</v>
      </c>
      <c r="U159">
        <v>53.009638106244203</v>
      </c>
      <c r="X159" s="5"/>
    </row>
    <row r="160" spans="2:24" x14ac:dyDescent="0.2">
      <c r="O160" t="s">
        <v>729</v>
      </c>
      <c r="R160">
        <v>36.636599999999994</v>
      </c>
      <c r="T160">
        <v>56</v>
      </c>
      <c r="U160">
        <v>54.659510545972879</v>
      </c>
      <c r="X160" s="5"/>
    </row>
    <row r="161" spans="15:24" x14ac:dyDescent="0.2">
      <c r="O161" t="s">
        <v>729</v>
      </c>
      <c r="R161">
        <v>37.282699999999998</v>
      </c>
      <c r="T161">
        <v>57</v>
      </c>
      <c r="U161">
        <v>56.330166381037152</v>
      </c>
      <c r="X161" s="5"/>
    </row>
    <row r="162" spans="15:24" x14ac:dyDescent="0.2">
      <c r="O162" t="s">
        <v>729</v>
      </c>
      <c r="R162">
        <v>37.928799999999995</v>
      </c>
      <c r="T162">
        <v>58</v>
      </c>
      <c r="U162">
        <v>58.02149590520839</v>
      </c>
      <c r="X162" s="5"/>
    </row>
    <row r="163" spans="15:24" x14ac:dyDescent="0.2">
      <c r="O163" t="s">
        <v>729</v>
      </c>
      <c r="R163">
        <v>38.5749</v>
      </c>
      <c r="T163">
        <v>59</v>
      </c>
      <c r="U163">
        <v>59.733391884627004</v>
      </c>
      <c r="X163" s="5"/>
    </row>
    <row r="164" spans="15:24" x14ac:dyDescent="0.2">
      <c r="O164" t="s">
        <v>729</v>
      </c>
      <c r="R164">
        <v>39.221000000000004</v>
      </c>
      <c r="T164">
        <v>60</v>
      </c>
      <c r="U164">
        <v>61.465749460866512</v>
      </c>
      <c r="X164" s="5"/>
    </row>
    <row r="165" spans="15:24" x14ac:dyDescent="0.2">
      <c r="O165" t="s">
        <v>729</v>
      </c>
      <c r="R165">
        <v>39.867100000000001</v>
      </c>
      <c r="T165">
        <v>61</v>
      </c>
      <c r="U165">
        <v>63.218466059361262</v>
      </c>
      <c r="X165" s="5"/>
    </row>
    <row r="166" spans="15:24" x14ac:dyDescent="0.2">
      <c r="O166" t="s">
        <v>729</v>
      </c>
      <c r="R166">
        <v>40.513200000000005</v>
      </c>
      <c r="T166">
        <v>62</v>
      </c>
      <c r="U166">
        <v>64.991441302815161</v>
      </c>
      <c r="X166" s="5"/>
    </row>
    <row r="167" spans="15:24" x14ac:dyDescent="0.2">
      <c r="O167" t="s">
        <v>729</v>
      </c>
      <c r="R167">
        <v>41.159300000000002</v>
      </c>
      <c r="T167">
        <v>63</v>
      </c>
      <c r="U167">
        <v>66.784576929246228</v>
      </c>
      <c r="X167" s="5"/>
    </row>
    <row r="168" spans="15:24" x14ac:dyDescent="0.2">
      <c r="O168" t="s">
        <v>729</v>
      </c>
      <c r="R168">
        <v>41.805400000000006</v>
      </c>
      <c r="T168">
        <v>64</v>
      </c>
      <c r="U168">
        <v>68.597776714347674</v>
      </c>
      <c r="X168" s="5"/>
    </row>
    <row r="169" spans="15:24" x14ac:dyDescent="0.2">
      <c r="O169" t="s">
        <v>729</v>
      </c>
      <c r="R169">
        <v>42.451500000000003</v>
      </c>
      <c r="T169">
        <v>65</v>
      </c>
      <c r="U169">
        <v>70.430946397873797</v>
      </c>
      <c r="X169" s="5"/>
    </row>
  </sheetData>
  <phoneticPr fontId="2" type="noConversion"/>
  <pageMargins left="0.78740157499999996" right="0.78740157499999996" top="0.984251969" bottom="0.984251969" header="0.5" footer="0.5"/>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sqref="A1:B3"/>
    </sheetView>
  </sheetViews>
  <sheetFormatPr baseColWidth="10" defaultRowHeight="12.75" x14ac:dyDescent="0.2"/>
  <cols>
    <col min="1" max="256" width="9.140625" customWidth="1"/>
  </cols>
  <sheetData>
    <row r="1" spans="1:2" x14ac:dyDescent="0.2">
      <c r="A1" s="7" t="s">
        <v>976</v>
      </c>
      <c r="B1" t="s">
        <v>668</v>
      </c>
    </row>
    <row r="2" spans="1:2" x14ac:dyDescent="0.2">
      <c r="A2" s="7" t="s">
        <v>977</v>
      </c>
      <c r="B2" t="s">
        <v>669</v>
      </c>
    </row>
  </sheetData>
  <phoneticPr fontId="2" type="noConversion"/>
  <pageMargins left="0.78740157499999996" right="0.78740157499999996" top="0.984251969" bottom="0.984251969" header="0.5" footer="0.5"/>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1"/>
  <sheetViews>
    <sheetView topLeftCell="B58" workbookViewId="0">
      <selection activeCell="B37" sqref="B37"/>
    </sheetView>
  </sheetViews>
  <sheetFormatPr baseColWidth="10" defaultRowHeight="12.75" x14ac:dyDescent="0.2"/>
  <cols>
    <col min="1" max="256" width="9.140625" customWidth="1"/>
  </cols>
  <sheetData>
    <row r="1" spans="1:10" x14ac:dyDescent="0.2">
      <c r="A1" s="7" t="s">
        <v>976</v>
      </c>
      <c r="B1" t="s">
        <v>360</v>
      </c>
    </row>
    <row r="2" spans="1:10" x14ac:dyDescent="0.2">
      <c r="A2" s="7" t="s">
        <v>977</v>
      </c>
      <c r="B2" s="7" t="s">
        <v>363</v>
      </c>
    </row>
    <row r="4" spans="1:10" x14ac:dyDescent="0.2">
      <c r="B4" t="s">
        <v>364</v>
      </c>
    </row>
    <row r="5" spans="1:10" x14ac:dyDescent="0.2">
      <c r="B5" t="s">
        <v>365</v>
      </c>
    </row>
    <row r="6" spans="1:10" x14ac:dyDescent="0.2">
      <c r="B6" t="s">
        <v>366</v>
      </c>
    </row>
    <row r="7" spans="1:10" x14ac:dyDescent="0.2">
      <c r="B7" t="s">
        <v>367</v>
      </c>
    </row>
    <row r="8" spans="1:10" x14ac:dyDescent="0.2">
      <c r="B8" t="s">
        <v>368</v>
      </c>
    </row>
    <row r="9" spans="1:10" x14ac:dyDescent="0.2">
      <c r="B9" t="s">
        <v>369</v>
      </c>
    </row>
    <row r="10" spans="1:10" x14ac:dyDescent="0.2">
      <c r="B10" t="s">
        <v>370</v>
      </c>
    </row>
    <row r="11" spans="1:10" x14ac:dyDescent="0.2">
      <c r="B11" t="s">
        <v>371</v>
      </c>
    </row>
    <row r="12" spans="1:10" x14ac:dyDescent="0.2">
      <c r="B12" t="s">
        <v>372</v>
      </c>
    </row>
    <row r="13" spans="1:10" x14ac:dyDescent="0.2">
      <c r="B13" t="s">
        <v>373</v>
      </c>
    </row>
    <row r="15" spans="1:10" x14ac:dyDescent="0.2">
      <c r="B15" s="7" t="s">
        <v>374</v>
      </c>
    </row>
    <row r="16" spans="1:10" x14ac:dyDescent="0.2">
      <c r="B16" s="43"/>
      <c r="C16" s="88" t="s">
        <v>375</v>
      </c>
      <c r="D16" s="88"/>
      <c r="E16" s="88"/>
      <c r="F16" s="88"/>
      <c r="G16" s="88"/>
      <c r="H16" s="88"/>
      <c r="I16" s="88"/>
      <c r="J16" s="88"/>
    </row>
    <row r="17" spans="1:13" x14ac:dyDescent="0.2">
      <c r="B17" s="43" t="s">
        <v>376</v>
      </c>
      <c r="C17" s="43">
        <v>1</v>
      </c>
      <c r="D17" s="43">
        <v>2</v>
      </c>
      <c r="E17" s="43">
        <v>3</v>
      </c>
      <c r="F17" s="43">
        <v>4</v>
      </c>
      <c r="G17" s="43">
        <v>5</v>
      </c>
      <c r="H17" s="43">
        <v>6</v>
      </c>
      <c r="I17" s="43">
        <v>7</v>
      </c>
      <c r="J17" s="43">
        <v>8</v>
      </c>
      <c r="K17" s="31" t="s">
        <v>377</v>
      </c>
      <c r="L17" s="31" t="s">
        <v>378</v>
      </c>
      <c r="M17" s="31" t="s">
        <v>379</v>
      </c>
    </row>
    <row r="18" spans="1:13" x14ac:dyDescent="0.2">
      <c r="B18">
        <v>1</v>
      </c>
      <c r="C18">
        <v>2.62</v>
      </c>
      <c r="D18">
        <v>2.14</v>
      </c>
      <c r="E18">
        <v>3.19</v>
      </c>
      <c r="F18">
        <v>4.88</v>
      </c>
      <c r="G18">
        <v>7.09</v>
      </c>
      <c r="H18">
        <v>7.95</v>
      </c>
      <c r="I18">
        <v>5.9</v>
      </c>
      <c r="J18">
        <v>4.0199999999999996</v>
      </c>
      <c r="K18" s="31">
        <f t="shared" ref="K18:K23" si="0">SUM(C18:J18)/8</f>
        <v>4.723749999999999</v>
      </c>
      <c r="L18" s="31">
        <f t="shared" ref="L18:L23" si="1">SUM(C18:J18)</f>
        <v>37.789999999999992</v>
      </c>
      <c r="M18" s="31">
        <f t="shared" ref="M18:M23" si="2">SQRT(L18/PI()*4)</f>
        <v>6.9365497472116342</v>
      </c>
    </row>
    <row r="19" spans="1:13" x14ac:dyDescent="0.2">
      <c r="B19">
        <v>2</v>
      </c>
      <c r="C19">
        <v>2.92</v>
      </c>
      <c r="D19">
        <v>0.69</v>
      </c>
      <c r="E19">
        <v>2.41</v>
      </c>
      <c r="F19">
        <v>7.18</v>
      </c>
      <c r="G19">
        <v>7.26</v>
      </c>
      <c r="H19">
        <v>6.05</v>
      </c>
      <c r="I19">
        <v>6.05</v>
      </c>
      <c r="J19">
        <v>5.97</v>
      </c>
      <c r="K19" s="31">
        <f t="shared" si="0"/>
        <v>4.8162500000000001</v>
      </c>
      <c r="L19" s="31">
        <f t="shared" si="1"/>
        <v>38.53</v>
      </c>
      <c r="M19" s="31">
        <f t="shared" si="2"/>
        <v>7.0041358966431986</v>
      </c>
    </row>
    <row r="20" spans="1:13" x14ac:dyDescent="0.2">
      <c r="B20">
        <v>3</v>
      </c>
      <c r="C20">
        <v>0.35</v>
      </c>
      <c r="D20">
        <v>0.72</v>
      </c>
      <c r="E20">
        <v>1.57</v>
      </c>
      <c r="F20">
        <v>1.86</v>
      </c>
      <c r="G20">
        <v>1.65</v>
      </c>
      <c r="H20">
        <v>1.86</v>
      </c>
      <c r="I20">
        <v>2.31</v>
      </c>
      <c r="J20">
        <v>1.17</v>
      </c>
      <c r="K20" s="31">
        <f t="shared" si="0"/>
        <v>1.43625</v>
      </c>
      <c r="L20" s="31">
        <f t="shared" si="1"/>
        <v>11.49</v>
      </c>
      <c r="M20" s="31">
        <f t="shared" si="2"/>
        <v>3.8248558625139091</v>
      </c>
    </row>
    <row r="21" spans="1:13" x14ac:dyDescent="0.2">
      <c r="B21">
        <v>4</v>
      </c>
      <c r="C21">
        <v>3.13</v>
      </c>
      <c r="D21">
        <v>2.82</v>
      </c>
      <c r="E21">
        <v>2</v>
      </c>
      <c r="F21">
        <v>2.41</v>
      </c>
      <c r="G21">
        <v>1.94</v>
      </c>
      <c r="H21">
        <v>1.82</v>
      </c>
      <c r="I21">
        <v>1.82</v>
      </c>
      <c r="J21">
        <v>1.82</v>
      </c>
      <c r="K21" s="31">
        <f t="shared" si="0"/>
        <v>2.2199999999999998</v>
      </c>
      <c r="L21" s="31">
        <f t="shared" si="1"/>
        <v>17.759999999999998</v>
      </c>
      <c r="M21" s="31">
        <f t="shared" si="2"/>
        <v>4.7552848825802743</v>
      </c>
    </row>
    <row r="22" spans="1:13" x14ac:dyDescent="0.2">
      <c r="B22">
        <v>5</v>
      </c>
      <c r="C22">
        <v>3.9</v>
      </c>
      <c r="D22">
        <v>1.42</v>
      </c>
      <c r="E22">
        <v>0.74</v>
      </c>
      <c r="F22">
        <v>2.41</v>
      </c>
      <c r="G22">
        <v>4.88</v>
      </c>
      <c r="H22">
        <v>3.53</v>
      </c>
      <c r="I22">
        <v>2.31</v>
      </c>
      <c r="J22">
        <v>3.77</v>
      </c>
      <c r="K22" s="31">
        <f t="shared" si="0"/>
        <v>2.87</v>
      </c>
      <c r="L22" s="31">
        <f t="shared" si="1"/>
        <v>22.96</v>
      </c>
      <c r="M22" s="31">
        <f t="shared" si="2"/>
        <v>5.4068086656658512</v>
      </c>
    </row>
    <row r="23" spans="1:13" x14ac:dyDescent="0.2">
      <c r="B23">
        <v>6</v>
      </c>
      <c r="C23">
        <v>1.2</v>
      </c>
      <c r="D23">
        <v>0.87</v>
      </c>
      <c r="E23">
        <v>1.02</v>
      </c>
      <c r="F23">
        <v>1.04</v>
      </c>
      <c r="G23">
        <v>0.69</v>
      </c>
      <c r="H23">
        <v>1.07</v>
      </c>
      <c r="I23">
        <v>2.65</v>
      </c>
      <c r="J23">
        <v>2.5</v>
      </c>
      <c r="K23" s="31">
        <f t="shared" si="0"/>
        <v>1.3800000000000001</v>
      </c>
      <c r="L23" s="31">
        <f t="shared" si="1"/>
        <v>11.040000000000001</v>
      </c>
      <c r="M23" s="31">
        <f t="shared" si="2"/>
        <v>3.749208526326083</v>
      </c>
    </row>
    <row r="26" spans="1:13" x14ac:dyDescent="0.2">
      <c r="B26" t="s">
        <v>380</v>
      </c>
    </row>
    <row r="29" spans="1:13" x14ac:dyDescent="0.2">
      <c r="A29" s="7" t="s">
        <v>976</v>
      </c>
      <c r="B29" t="s">
        <v>46</v>
      </c>
    </row>
    <row r="30" spans="1:13" x14ac:dyDescent="0.2">
      <c r="A30" s="7" t="s">
        <v>977</v>
      </c>
      <c r="B30" t="s">
        <v>426</v>
      </c>
    </row>
    <row r="31" spans="1:13" x14ac:dyDescent="0.2">
      <c r="B31" t="s">
        <v>425</v>
      </c>
    </row>
    <row r="33" spans="1:12" x14ac:dyDescent="0.2">
      <c r="A33" s="7" t="s">
        <v>976</v>
      </c>
      <c r="B33" t="s">
        <v>749</v>
      </c>
    </row>
    <row r="34" spans="1:12" x14ac:dyDescent="0.2">
      <c r="A34" s="7" t="s">
        <v>977</v>
      </c>
      <c r="B34" t="s">
        <v>750</v>
      </c>
    </row>
    <row r="35" spans="1:12" x14ac:dyDescent="0.2">
      <c r="B35" t="s">
        <v>751</v>
      </c>
    </row>
    <row r="37" spans="1:12" x14ac:dyDescent="0.2">
      <c r="A37" s="7" t="s">
        <v>976</v>
      </c>
      <c r="B37" t="s">
        <v>752</v>
      </c>
    </row>
    <row r="38" spans="1:12" x14ac:dyDescent="0.2">
      <c r="A38" s="7" t="s">
        <v>977</v>
      </c>
      <c r="B38" t="s">
        <v>753</v>
      </c>
    </row>
    <row r="41" spans="1:12" x14ac:dyDescent="0.2">
      <c r="A41" s="7" t="s">
        <v>976</v>
      </c>
      <c r="B41" t="s">
        <v>743</v>
      </c>
    </row>
    <row r="42" spans="1:12" ht="15.75" x14ac:dyDescent="0.25">
      <c r="B42" s="70" t="s">
        <v>741</v>
      </c>
      <c r="K42" s="43"/>
    </row>
    <row r="43" spans="1:12" x14ac:dyDescent="0.2">
      <c r="A43" s="7" t="s">
        <v>977</v>
      </c>
      <c r="B43" t="s">
        <v>721</v>
      </c>
      <c r="C43" t="s">
        <v>722</v>
      </c>
      <c r="D43" t="s">
        <v>723</v>
      </c>
      <c r="E43" t="s">
        <v>724</v>
      </c>
      <c r="F43" t="s">
        <v>725</v>
      </c>
      <c r="G43" t="s">
        <v>726</v>
      </c>
      <c r="H43" t="s">
        <v>727</v>
      </c>
      <c r="I43" t="s">
        <v>730</v>
      </c>
      <c r="J43" t="s">
        <v>728</v>
      </c>
      <c r="K43" s="43" t="s">
        <v>736</v>
      </c>
      <c r="L43" t="s">
        <v>738</v>
      </c>
    </row>
    <row r="44" spans="1:12" x14ac:dyDescent="0.2">
      <c r="A44" s="7"/>
      <c r="B44">
        <v>12</v>
      </c>
      <c r="C44" t="s">
        <v>729</v>
      </c>
      <c r="D44">
        <v>9</v>
      </c>
      <c r="E44">
        <v>3.4</v>
      </c>
      <c r="F44">
        <v>7.62</v>
      </c>
      <c r="G44">
        <v>0.44</v>
      </c>
      <c r="H44">
        <v>10.3</v>
      </c>
      <c r="I44">
        <v>7.82</v>
      </c>
      <c r="J44" t="s">
        <v>731</v>
      </c>
      <c r="K44" s="43" t="s">
        <v>122</v>
      </c>
      <c r="L44">
        <f>E44/2</f>
        <v>1.7</v>
      </c>
    </row>
    <row r="45" spans="1:12" x14ac:dyDescent="0.2">
      <c r="B45">
        <v>10</v>
      </c>
      <c r="C45" t="s">
        <v>729</v>
      </c>
      <c r="D45">
        <v>9</v>
      </c>
      <c r="E45">
        <v>2.8</v>
      </c>
      <c r="F45">
        <v>6.3</v>
      </c>
      <c r="G45">
        <v>0.5</v>
      </c>
      <c r="H45">
        <v>9.9</v>
      </c>
      <c r="I45">
        <v>8.44</v>
      </c>
      <c r="J45" t="s">
        <v>731</v>
      </c>
      <c r="K45" s="43" t="s">
        <v>122</v>
      </c>
      <c r="L45">
        <f t="shared" ref="L45:L91" si="3">E45/2</f>
        <v>1.4</v>
      </c>
    </row>
    <row r="46" spans="1:12" x14ac:dyDescent="0.2">
      <c r="B46">
        <v>20</v>
      </c>
      <c r="C46" t="s">
        <v>729</v>
      </c>
      <c r="D46">
        <v>29</v>
      </c>
      <c r="E46">
        <v>5.6</v>
      </c>
      <c r="F46">
        <v>19</v>
      </c>
      <c r="G46">
        <v>8.6</v>
      </c>
      <c r="H46">
        <v>23.4</v>
      </c>
      <c r="I46">
        <v>15</v>
      </c>
      <c r="J46" t="s">
        <v>731</v>
      </c>
      <c r="K46" s="43" t="s">
        <v>122</v>
      </c>
      <c r="L46">
        <f t="shared" si="3"/>
        <v>2.8</v>
      </c>
    </row>
    <row r="47" spans="1:12" x14ac:dyDescent="0.2">
      <c r="B47">
        <v>5</v>
      </c>
      <c r="C47" t="s">
        <v>729</v>
      </c>
      <c r="D47">
        <v>19</v>
      </c>
      <c r="E47">
        <v>7</v>
      </c>
      <c r="F47">
        <v>13.3</v>
      </c>
      <c r="G47">
        <v>3.13</v>
      </c>
      <c r="H47">
        <v>20.9</v>
      </c>
      <c r="I47">
        <v>23.37</v>
      </c>
      <c r="J47" t="s">
        <v>731</v>
      </c>
      <c r="K47" s="43" t="s">
        <v>122</v>
      </c>
      <c r="L47">
        <f t="shared" si="3"/>
        <v>3.5</v>
      </c>
    </row>
    <row r="48" spans="1:12" x14ac:dyDescent="0.2">
      <c r="B48">
        <v>4</v>
      </c>
      <c r="C48" t="s">
        <v>729</v>
      </c>
      <c r="D48">
        <v>19</v>
      </c>
      <c r="E48">
        <v>6.8</v>
      </c>
      <c r="F48">
        <v>13.95</v>
      </c>
      <c r="G48">
        <v>2.52</v>
      </c>
      <c r="H48">
        <v>23.2</v>
      </c>
      <c r="I48">
        <v>30.81</v>
      </c>
      <c r="J48" t="s">
        <v>731</v>
      </c>
      <c r="K48" s="43" t="s">
        <v>122</v>
      </c>
      <c r="L48">
        <f t="shared" si="3"/>
        <v>3.4</v>
      </c>
    </row>
    <row r="49" spans="2:12" x14ac:dyDescent="0.2">
      <c r="B49">
        <v>6</v>
      </c>
      <c r="C49" t="s">
        <v>729</v>
      </c>
      <c r="D49">
        <v>19</v>
      </c>
      <c r="E49">
        <v>7</v>
      </c>
      <c r="F49">
        <v>14.4</v>
      </c>
      <c r="G49">
        <v>3.8</v>
      </c>
      <c r="H49">
        <v>24</v>
      </c>
      <c r="I49">
        <v>38.33</v>
      </c>
      <c r="J49" t="s">
        <v>731</v>
      </c>
      <c r="K49" s="43" t="s">
        <v>122</v>
      </c>
      <c r="L49">
        <f t="shared" si="3"/>
        <v>3.5</v>
      </c>
    </row>
    <row r="50" spans="2:12" x14ac:dyDescent="0.2">
      <c r="B50">
        <v>1</v>
      </c>
      <c r="C50" t="s">
        <v>729</v>
      </c>
      <c r="D50">
        <v>39</v>
      </c>
      <c r="E50">
        <v>10.6</v>
      </c>
      <c r="F50">
        <v>25.4</v>
      </c>
      <c r="G50">
        <v>10.24</v>
      </c>
      <c r="H50">
        <v>37.799999999999997</v>
      </c>
      <c r="I50">
        <v>36.590000000000003</v>
      </c>
      <c r="J50" t="s">
        <v>731</v>
      </c>
      <c r="K50" s="43" t="s">
        <v>122</v>
      </c>
      <c r="L50">
        <f t="shared" si="3"/>
        <v>5.3</v>
      </c>
    </row>
    <row r="51" spans="2:12" x14ac:dyDescent="0.2">
      <c r="B51">
        <v>2</v>
      </c>
      <c r="C51" t="s">
        <v>729</v>
      </c>
      <c r="D51">
        <v>39</v>
      </c>
      <c r="E51">
        <v>9.8000000000000007</v>
      </c>
      <c r="F51">
        <v>26.34</v>
      </c>
      <c r="G51">
        <v>7.62</v>
      </c>
      <c r="H51">
        <v>38.200000000000003</v>
      </c>
      <c r="I51">
        <v>44.08</v>
      </c>
      <c r="J51" t="s">
        <v>731</v>
      </c>
      <c r="K51" s="43" t="s">
        <v>122</v>
      </c>
      <c r="L51">
        <f t="shared" si="3"/>
        <v>4.9000000000000004</v>
      </c>
    </row>
    <row r="52" spans="2:12" x14ac:dyDescent="0.2">
      <c r="B52">
        <v>21</v>
      </c>
      <c r="C52" t="s">
        <v>729</v>
      </c>
      <c r="D52">
        <v>29</v>
      </c>
      <c r="E52">
        <v>6.4</v>
      </c>
      <c r="F52">
        <v>20</v>
      </c>
      <c r="G52">
        <v>9.6</v>
      </c>
      <c r="H52">
        <v>26.6</v>
      </c>
      <c r="I52">
        <v>22.78</v>
      </c>
      <c r="J52" t="s">
        <v>731</v>
      </c>
      <c r="K52" s="43" t="s">
        <v>122</v>
      </c>
      <c r="L52">
        <f t="shared" si="3"/>
        <v>3.2</v>
      </c>
    </row>
    <row r="53" spans="2:12" x14ac:dyDescent="0.2">
      <c r="B53">
        <v>19</v>
      </c>
      <c r="C53" t="s">
        <v>729</v>
      </c>
      <c r="D53">
        <v>29</v>
      </c>
      <c r="E53">
        <v>6.6</v>
      </c>
      <c r="F53">
        <v>17.899999999999999</v>
      </c>
      <c r="G53">
        <v>8.65</v>
      </c>
      <c r="H53">
        <v>25.5</v>
      </c>
      <c r="I53">
        <v>23</v>
      </c>
      <c r="J53" t="s">
        <v>731</v>
      </c>
      <c r="K53" s="43" t="s">
        <v>122</v>
      </c>
      <c r="L53">
        <f t="shared" si="3"/>
        <v>3.3</v>
      </c>
    </row>
    <row r="54" spans="2:12" x14ac:dyDescent="0.2">
      <c r="B54">
        <v>11</v>
      </c>
      <c r="C54" t="s">
        <v>729</v>
      </c>
      <c r="D54">
        <v>9</v>
      </c>
      <c r="E54">
        <v>2.6</v>
      </c>
      <c r="F54">
        <v>6.16</v>
      </c>
      <c r="G54">
        <v>0.28000000000000003</v>
      </c>
      <c r="H54">
        <v>8</v>
      </c>
      <c r="I54">
        <v>4.5999999999999996</v>
      </c>
      <c r="J54" t="s">
        <v>731</v>
      </c>
      <c r="K54" s="43" t="s">
        <v>122</v>
      </c>
      <c r="L54">
        <f t="shared" si="3"/>
        <v>1.3</v>
      </c>
    </row>
    <row r="55" spans="2:12" x14ac:dyDescent="0.2">
      <c r="B55">
        <v>23</v>
      </c>
      <c r="C55" t="s">
        <v>729</v>
      </c>
      <c r="D55">
        <v>39</v>
      </c>
      <c r="E55">
        <v>6</v>
      </c>
      <c r="F55">
        <v>20.5</v>
      </c>
      <c r="G55">
        <v>8.75</v>
      </c>
      <c r="H55">
        <v>19.8</v>
      </c>
      <c r="I55">
        <v>10.51</v>
      </c>
      <c r="J55" t="s">
        <v>731</v>
      </c>
      <c r="K55" s="43" t="s">
        <v>755</v>
      </c>
      <c r="L55">
        <f t="shared" si="3"/>
        <v>3</v>
      </c>
    </row>
    <row r="56" spans="2:12" x14ac:dyDescent="0.2">
      <c r="B56">
        <v>24</v>
      </c>
      <c r="C56" t="s">
        <v>729</v>
      </c>
      <c r="D56">
        <v>39</v>
      </c>
      <c r="E56">
        <v>5.2</v>
      </c>
      <c r="F56">
        <v>19.829999999999998</v>
      </c>
      <c r="G56">
        <v>10.16</v>
      </c>
      <c r="H56">
        <v>20.5</v>
      </c>
      <c r="I56">
        <v>8.4600000000000009</v>
      </c>
      <c r="J56" t="s">
        <v>731</v>
      </c>
      <c r="K56" s="43" t="s">
        <v>755</v>
      </c>
      <c r="L56">
        <f t="shared" si="3"/>
        <v>2.6</v>
      </c>
    </row>
    <row r="57" spans="2:12" x14ac:dyDescent="0.2">
      <c r="B57">
        <v>8</v>
      </c>
      <c r="C57" t="s">
        <v>729</v>
      </c>
      <c r="D57">
        <v>19</v>
      </c>
      <c r="E57">
        <v>2.8</v>
      </c>
      <c r="F57">
        <v>9.2200000000000006</v>
      </c>
      <c r="G57">
        <v>4.24</v>
      </c>
      <c r="H57">
        <v>8.8000000000000007</v>
      </c>
      <c r="I57">
        <v>1.55</v>
      </c>
      <c r="J57" t="s">
        <v>731</v>
      </c>
      <c r="K57" s="43" t="s">
        <v>755</v>
      </c>
      <c r="L57">
        <f t="shared" si="3"/>
        <v>1.4</v>
      </c>
    </row>
    <row r="58" spans="2:12" x14ac:dyDescent="0.2">
      <c r="B58">
        <v>9</v>
      </c>
      <c r="C58" t="s">
        <v>729</v>
      </c>
      <c r="D58">
        <v>19</v>
      </c>
      <c r="E58">
        <v>3</v>
      </c>
      <c r="F58">
        <v>10.95</v>
      </c>
      <c r="G58">
        <v>4.2300000000000004</v>
      </c>
      <c r="H58">
        <v>8.9</v>
      </c>
      <c r="I58">
        <v>2.36</v>
      </c>
      <c r="J58" t="s">
        <v>731</v>
      </c>
      <c r="K58" s="43" t="s">
        <v>755</v>
      </c>
      <c r="L58">
        <f t="shared" si="3"/>
        <v>1.5</v>
      </c>
    </row>
    <row r="59" spans="2:12" x14ac:dyDescent="0.2">
      <c r="B59">
        <v>15</v>
      </c>
      <c r="C59" t="s">
        <v>729</v>
      </c>
      <c r="D59">
        <v>9</v>
      </c>
      <c r="E59">
        <v>3</v>
      </c>
      <c r="F59">
        <v>4.7699999999999996</v>
      </c>
      <c r="G59">
        <v>0.25</v>
      </c>
      <c r="H59">
        <v>5.9</v>
      </c>
      <c r="I59">
        <v>3.44</v>
      </c>
      <c r="J59" t="s">
        <v>731</v>
      </c>
      <c r="K59" s="43" t="s">
        <v>755</v>
      </c>
      <c r="L59">
        <f t="shared" si="3"/>
        <v>1.5</v>
      </c>
    </row>
    <row r="60" spans="2:12" x14ac:dyDescent="0.2">
      <c r="B60">
        <v>13</v>
      </c>
      <c r="C60" t="s">
        <v>729</v>
      </c>
      <c r="D60">
        <v>9</v>
      </c>
      <c r="E60">
        <v>2.4</v>
      </c>
      <c r="F60">
        <v>4.3</v>
      </c>
      <c r="G60">
        <v>0.24</v>
      </c>
      <c r="H60">
        <v>4.2</v>
      </c>
      <c r="I60">
        <v>2.17</v>
      </c>
      <c r="J60" t="s">
        <v>731</v>
      </c>
      <c r="K60" s="43" t="s">
        <v>755</v>
      </c>
      <c r="L60">
        <f t="shared" si="3"/>
        <v>1.2</v>
      </c>
    </row>
    <row r="61" spans="2:12" x14ac:dyDescent="0.2">
      <c r="B61">
        <v>14</v>
      </c>
      <c r="C61" t="s">
        <v>729</v>
      </c>
      <c r="D61">
        <v>9</v>
      </c>
      <c r="E61">
        <v>2</v>
      </c>
      <c r="F61">
        <v>4</v>
      </c>
      <c r="G61">
        <v>0.36</v>
      </c>
      <c r="H61">
        <v>5.0999999999999996</v>
      </c>
      <c r="I61">
        <v>2.76</v>
      </c>
      <c r="J61" t="s">
        <v>731</v>
      </c>
      <c r="K61" s="43" t="s">
        <v>755</v>
      </c>
      <c r="L61">
        <f t="shared" si="3"/>
        <v>1</v>
      </c>
    </row>
    <row r="62" spans="2:12" x14ac:dyDescent="0.2">
      <c r="B62">
        <v>17</v>
      </c>
      <c r="C62" t="s">
        <v>729</v>
      </c>
      <c r="D62">
        <v>29</v>
      </c>
      <c r="E62">
        <v>4.2</v>
      </c>
      <c r="F62">
        <v>15.9</v>
      </c>
      <c r="G62">
        <v>8.39</v>
      </c>
      <c r="H62">
        <v>16.3</v>
      </c>
      <c r="I62">
        <v>6.56</v>
      </c>
      <c r="J62" t="s">
        <v>731</v>
      </c>
      <c r="K62" s="43" t="s">
        <v>755</v>
      </c>
      <c r="L62">
        <f t="shared" si="3"/>
        <v>2.1</v>
      </c>
    </row>
    <row r="63" spans="2:12" x14ac:dyDescent="0.2">
      <c r="B63">
        <v>22</v>
      </c>
      <c r="C63" t="s">
        <v>729</v>
      </c>
      <c r="D63">
        <v>39</v>
      </c>
      <c r="E63">
        <v>4.8</v>
      </c>
      <c r="F63">
        <v>19</v>
      </c>
      <c r="G63">
        <v>10.27</v>
      </c>
      <c r="H63">
        <v>17.600000000000001</v>
      </c>
      <c r="I63">
        <v>5.66</v>
      </c>
      <c r="J63" t="s">
        <v>731</v>
      </c>
      <c r="K63" s="43" t="s">
        <v>755</v>
      </c>
      <c r="L63">
        <f t="shared" si="3"/>
        <v>2.4</v>
      </c>
    </row>
    <row r="64" spans="2:12" x14ac:dyDescent="0.2">
      <c r="B64">
        <v>18</v>
      </c>
      <c r="C64" t="s">
        <v>729</v>
      </c>
      <c r="D64">
        <v>29</v>
      </c>
      <c r="E64">
        <v>2.8</v>
      </c>
      <c r="F64">
        <v>14.2</v>
      </c>
      <c r="G64">
        <v>9.2100000000000009</v>
      </c>
      <c r="H64">
        <v>12.2</v>
      </c>
      <c r="I64">
        <v>2.1800000000000002</v>
      </c>
      <c r="J64" t="s">
        <v>731</v>
      </c>
      <c r="K64" s="43" t="s">
        <v>755</v>
      </c>
      <c r="L64">
        <f t="shared" si="3"/>
        <v>1.4</v>
      </c>
    </row>
    <row r="65" spans="2:12" x14ac:dyDescent="0.2">
      <c r="B65">
        <v>7</v>
      </c>
      <c r="C65" t="s">
        <v>729</v>
      </c>
      <c r="D65">
        <v>19</v>
      </c>
      <c r="E65">
        <v>4</v>
      </c>
      <c r="F65">
        <v>9.41</v>
      </c>
      <c r="G65">
        <v>4.21</v>
      </c>
      <c r="H65">
        <v>10.5</v>
      </c>
      <c r="I65">
        <v>3.68</v>
      </c>
      <c r="J65" t="s">
        <v>731</v>
      </c>
      <c r="K65" s="43" t="s">
        <v>755</v>
      </c>
      <c r="L65">
        <f t="shared" si="3"/>
        <v>2</v>
      </c>
    </row>
    <row r="66" spans="2:12" x14ac:dyDescent="0.2">
      <c r="B66">
        <v>16</v>
      </c>
      <c r="C66" t="s">
        <v>729</v>
      </c>
      <c r="D66">
        <v>29</v>
      </c>
      <c r="E66">
        <v>3.2</v>
      </c>
      <c r="F66">
        <v>14.78</v>
      </c>
      <c r="G66">
        <v>6.85</v>
      </c>
      <c r="H66">
        <v>11.9</v>
      </c>
      <c r="I66">
        <v>3.93</v>
      </c>
      <c r="J66" t="s">
        <v>731</v>
      </c>
      <c r="K66" s="43" t="s">
        <v>755</v>
      </c>
      <c r="L66">
        <f t="shared" si="3"/>
        <v>1.6</v>
      </c>
    </row>
    <row r="67" spans="2:12" x14ac:dyDescent="0.2">
      <c r="B67">
        <v>1</v>
      </c>
      <c r="C67" t="s">
        <v>729</v>
      </c>
      <c r="D67">
        <v>32</v>
      </c>
      <c r="E67">
        <v>6.9365497472116342</v>
      </c>
      <c r="H67">
        <v>16.7</v>
      </c>
      <c r="J67" t="s">
        <v>732</v>
      </c>
      <c r="K67" s="43"/>
      <c r="L67">
        <f t="shared" si="3"/>
        <v>3.4682748736058171</v>
      </c>
    </row>
    <row r="68" spans="2:12" x14ac:dyDescent="0.2">
      <c r="B68">
        <v>2</v>
      </c>
      <c r="C68" t="s">
        <v>729</v>
      </c>
      <c r="D68">
        <v>32</v>
      </c>
      <c r="E68">
        <v>7.0041358966431986</v>
      </c>
      <c r="H68">
        <v>16.7</v>
      </c>
      <c r="J68" t="s">
        <v>732</v>
      </c>
      <c r="K68" s="43"/>
      <c r="L68">
        <f t="shared" si="3"/>
        <v>3.5020679483215993</v>
      </c>
    </row>
    <row r="69" spans="2:12" x14ac:dyDescent="0.2">
      <c r="B69">
        <v>3</v>
      </c>
      <c r="C69" t="s">
        <v>729</v>
      </c>
      <c r="D69">
        <v>32</v>
      </c>
      <c r="E69">
        <v>3.8248558625139091</v>
      </c>
      <c r="H69">
        <v>14.3</v>
      </c>
      <c r="J69" t="s">
        <v>732</v>
      </c>
      <c r="K69" s="43"/>
      <c r="L69">
        <f t="shared" si="3"/>
        <v>1.9124279312569545</v>
      </c>
    </row>
    <row r="70" spans="2:12" x14ac:dyDescent="0.2">
      <c r="B70">
        <v>4</v>
      </c>
      <c r="C70" t="s">
        <v>729</v>
      </c>
      <c r="D70">
        <v>32</v>
      </c>
      <c r="E70">
        <v>4.7552848825802743</v>
      </c>
      <c r="H70">
        <v>14.3</v>
      </c>
      <c r="J70" t="s">
        <v>732</v>
      </c>
      <c r="K70" s="43"/>
      <c r="L70">
        <f t="shared" si="3"/>
        <v>2.3776424412901371</v>
      </c>
    </row>
    <row r="71" spans="2:12" x14ac:dyDescent="0.2">
      <c r="B71">
        <v>5</v>
      </c>
      <c r="C71" t="s">
        <v>729</v>
      </c>
      <c r="D71">
        <v>32</v>
      </c>
      <c r="E71">
        <v>5.4068086656658512</v>
      </c>
      <c r="H71">
        <v>12.4</v>
      </c>
      <c r="J71" t="s">
        <v>732</v>
      </c>
      <c r="K71" s="43"/>
      <c r="L71">
        <f t="shared" si="3"/>
        <v>2.7034043328329256</v>
      </c>
    </row>
    <row r="72" spans="2:12" x14ac:dyDescent="0.2">
      <c r="B72">
        <v>6</v>
      </c>
      <c r="C72" t="s">
        <v>729</v>
      </c>
      <c r="D72">
        <v>32</v>
      </c>
      <c r="E72">
        <v>3.749208526326083</v>
      </c>
      <c r="H72">
        <v>12.4</v>
      </c>
      <c r="J72" t="s">
        <v>732</v>
      </c>
      <c r="K72" s="43"/>
      <c r="L72">
        <f t="shared" si="3"/>
        <v>1.8746042631630415</v>
      </c>
    </row>
    <row r="73" spans="2:12" x14ac:dyDescent="0.2">
      <c r="C73" t="s">
        <v>729</v>
      </c>
      <c r="D73">
        <v>20</v>
      </c>
      <c r="E73">
        <v>1.25</v>
      </c>
      <c r="F73">
        <v>9.4</v>
      </c>
      <c r="H73">
        <v>6.2</v>
      </c>
      <c r="J73" t="s">
        <v>737</v>
      </c>
      <c r="K73" s="43"/>
      <c r="L73">
        <f t="shared" si="3"/>
        <v>0.625</v>
      </c>
    </row>
    <row r="74" spans="2:12" x14ac:dyDescent="0.2">
      <c r="C74" t="s">
        <v>729</v>
      </c>
      <c r="D74">
        <v>20</v>
      </c>
      <c r="E74">
        <v>2.2000000000000002</v>
      </c>
      <c r="F74">
        <v>11.8</v>
      </c>
      <c r="H74">
        <v>9.1999999999999993</v>
      </c>
      <c r="J74" t="s">
        <v>737</v>
      </c>
      <c r="K74" s="43"/>
      <c r="L74">
        <f t="shared" si="3"/>
        <v>1.1000000000000001</v>
      </c>
    </row>
    <row r="75" spans="2:12" x14ac:dyDescent="0.2">
      <c r="C75" t="s">
        <v>729</v>
      </c>
      <c r="D75">
        <v>20</v>
      </c>
      <c r="E75">
        <v>2.2999999999999998</v>
      </c>
      <c r="F75">
        <v>13.2</v>
      </c>
      <c r="H75">
        <v>11.3</v>
      </c>
      <c r="J75" t="s">
        <v>737</v>
      </c>
      <c r="K75" s="43"/>
      <c r="L75">
        <f t="shared" si="3"/>
        <v>1.1499999999999999</v>
      </c>
    </row>
    <row r="76" spans="2:12" x14ac:dyDescent="0.2">
      <c r="C76" t="s">
        <v>729</v>
      </c>
      <c r="D76">
        <v>20</v>
      </c>
      <c r="E76">
        <v>2.7</v>
      </c>
      <c r="F76">
        <v>14.8</v>
      </c>
      <c r="H76">
        <v>13.3</v>
      </c>
      <c r="J76" t="s">
        <v>737</v>
      </c>
      <c r="K76" s="43"/>
      <c r="L76">
        <f t="shared" si="3"/>
        <v>1.35</v>
      </c>
    </row>
    <row r="77" spans="2:12" x14ac:dyDescent="0.2">
      <c r="C77" t="s">
        <v>729</v>
      </c>
      <c r="D77">
        <v>24</v>
      </c>
      <c r="E77">
        <v>2.0499999999999998</v>
      </c>
      <c r="F77">
        <v>11.8</v>
      </c>
      <c r="H77">
        <v>8.6</v>
      </c>
      <c r="J77" t="s">
        <v>737</v>
      </c>
      <c r="K77" s="43"/>
      <c r="L77">
        <f t="shared" si="3"/>
        <v>1.0249999999999999</v>
      </c>
    </row>
    <row r="78" spans="2:12" x14ac:dyDescent="0.2">
      <c r="C78" t="s">
        <v>729</v>
      </c>
      <c r="D78">
        <v>24</v>
      </c>
      <c r="E78">
        <v>2.25</v>
      </c>
      <c r="F78">
        <v>14.4</v>
      </c>
      <c r="H78">
        <v>10.7</v>
      </c>
      <c r="J78" t="s">
        <v>737</v>
      </c>
      <c r="K78" s="43"/>
      <c r="L78">
        <f t="shared" si="3"/>
        <v>1.125</v>
      </c>
    </row>
    <row r="79" spans="2:12" x14ac:dyDescent="0.2">
      <c r="C79" t="s">
        <v>729</v>
      </c>
      <c r="D79">
        <v>24</v>
      </c>
      <c r="E79">
        <v>3.1</v>
      </c>
      <c r="F79">
        <v>15.4</v>
      </c>
      <c r="H79">
        <v>13.8</v>
      </c>
      <c r="J79" t="s">
        <v>737</v>
      </c>
      <c r="K79" s="43"/>
      <c r="L79">
        <f t="shared" si="3"/>
        <v>1.55</v>
      </c>
    </row>
    <row r="80" spans="2:12" x14ac:dyDescent="0.2">
      <c r="C80" t="s">
        <v>729</v>
      </c>
      <c r="D80">
        <v>24</v>
      </c>
      <c r="E80">
        <v>3.3</v>
      </c>
      <c r="F80">
        <v>19</v>
      </c>
      <c r="H80">
        <v>18.100000000000001</v>
      </c>
      <c r="J80" t="s">
        <v>737</v>
      </c>
      <c r="K80" s="43"/>
      <c r="L80">
        <f t="shared" si="3"/>
        <v>1.65</v>
      </c>
    </row>
    <row r="81" spans="3:12" x14ac:dyDescent="0.2">
      <c r="C81" t="s">
        <v>729</v>
      </c>
      <c r="D81">
        <v>36</v>
      </c>
      <c r="E81">
        <v>3</v>
      </c>
      <c r="F81">
        <v>22.2</v>
      </c>
      <c r="H81">
        <v>20.399999999999999</v>
      </c>
      <c r="J81" t="s">
        <v>737</v>
      </c>
      <c r="K81" s="43"/>
      <c r="L81">
        <f t="shared" si="3"/>
        <v>1.5</v>
      </c>
    </row>
    <row r="82" spans="3:12" x14ac:dyDescent="0.2">
      <c r="C82" t="s">
        <v>729</v>
      </c>
      <c r="D82">
        <v>36</v>
      </c>
      <c r="E82">
        <v>2.8</v>
      </c>
      <c r="F82">
        <v>24.4</v>
      </c>
      <c r="H82">
        <v>23</v>
      </c>
      <c r="J82" t="s">
        <v>737</v>
      </c>
      <c r="K82" s="43"/>
      <c r="L82">
        <f t="shared" si="3"/>
        <v>1.4</v>
      </c>
    </row>
    <row r="83" spans="3:12" x14ac:dyDescent="0.2">
      <c r="C83" t="s">
        <v>729</v>
      </c>
      <c r="D83">
        <v>41</v>
      </c>
      <c r="E83">
        <v>3.6</v>
      </c>
      <c r="F83">
        <v>25.8</v>
      </c>
      <c r="H83">
        <v>25.2</v>
      </c>
      <c r="J83" t="s">
        <v>737</v>
      </c>
      <c r="K83" s="43"/>
      <c r="L83">
        <f t="shared" si="3"/>
        <v>1.8</v>
      </c>
    </row>
    <row r="84" spans="3:12" x14ac:dyDescent="0.2">
      <c r="C84" t="s">
        <v>729</v>
      </c>
      <c r="D84">
        <v>41</v>
      </c>
      <c r="E84">
        <v>4.6500000000000004</v>
      </c>
      <c r="F84">
        <v>28.2</v>
      </c>
      <c r="H84">
        <v>28.1</v>
      </c>
      <c r="J84" t="s">
        <v>737</v>
      </c>
      <c r="K84" s="43"/>
      <c r="L84">
        <f t="shared" si="3"/>
        <v>2.3250000000000002</v>
      </c>
    </row>
    <row r="85" spans="3:12" x14ac:dyDescent="0.2">
      <c r="C85" t="s">
        <v>729</v>
      </c>
      <c r="D85">
        <v>41</v>
      </c>
      <c r="E85">
        <v>8.1</v>
      </c>
      <c r="F85">
        <v>30</v>
      </c>
      <c r="H85">
        <v>46.3</v>
      </c>
      <c r="J85" t="s">
        <v>737</v>
      </c>
      <c r="K85" s="43"/>
      <c r="L85">
        <f t="shared" si="3"/>
        <v>4.05</v>
      </c>
    </row>
    <row r="86" spans="3:12" x14ac:dyDescent="0.2">
      <c r="C86" t="s">
        <v>729</v>
      </c>
      <c r="D86">
        <v>42</v>
      </c>
      <c r="E86">
        <v>3.1</v>
      </c>
      <c r="F86">
        <v>22.6</v>
      </c>
      <c r="H86">
        <v>18.3</v>
      </c>
      <c r="J86" t="s">
        <v>737</v>
      </c>
      <c r="K86" s="43"/>
      <c r="L86">
        <f t="shared" si="3"/>
        <v>1.55</v>
      </c>
    </row>
    <row r="87" spans="3:12" x14ac:dyDescent="0.2">
      <c r="C87" t="s">
        <v>729</v>
      </c>
      <c r="D87">
        <v>42</v>
      </c>
      <c r="E87">
        <v>3.55</v>
      </c>
      <c r="F87">
        <v>24</v>
      </c>
      <c r="H87">
        <v>23.2</v>
      </c>
      <c r="J87" t="s">
        <v>737</v>
      </c>
      <c r="K87" s="43"/>
      <c r="L87">
        <f t="shared" si="3"/>
        <v>1.7749999999999999</v>
      </c>
    </row>
    <row r="88" spans="3:12" x14ac:dyDescent="0.2">
      <c r="C88" t="s">
        <v>729</v>
      </c>
      <c r="D88">
        <v>42</v>
      </c>
      <c r="E88">
        <v>4.5999999999999996</v>
      </c>
      <c r="F88">
        <v>27</v>
      </c>
      <c r="H88">
        <v>28.4</v>
      </c>
      <c r="J88" t="s">
        <v>737</v>
      </c>
      <c r="K88" s="43"/>
      <c r="L88">
        <f t="shared" si="3"/>
        <v>2.2999999999999998</v>
      </c>
    </row>
    <row r="89" spans="3:12" x14ac:dyDescent="0.2">
      <c r="C89" t="s">
        <v>729</v>
      </c>
      <c r="D89">
        <v>42</v>
      </c>
      <c r="E89">
        <v>4.3499999999999996</v>
      </c>
      <c r="F89">
        <v>28.4</v>
      </c>
      <c r="H89">
        <v>33.5</v>
      </c>
      <c r="J89" t="s">
        <v>737</v>
      </c>
      <c r="K89" s="43"/>
      <c r="L89">
        <f t="shared" si="3"/>
        <v>2.1749999999999998</v>
      </c>
    </row>
    <row r="90" spans="3:12" x14ac:dyDescent="0.2">
      <c r="C90" t="s">
        <v>729</v>
      </c>
      <c r="D90">
        <v>45</v>
      </c>
      <c r="E90">
        <v>2.65</v>
      </c>
      <c r="F90">
        <v>21.6</v>
      </c>
      <c r="H90">
        <v>20.5</v>
      </c>
      <c r="J90" t="s">
        <v>737</v>
      </c>
      <c r="K90" s="43"/>
      <c r="L90">
        <f t="shared" si="3"/>
        <v>1.325</v>
      </c>
    </row>
    <row r="91" spans="3:12" x14ac:dyDescent="0.2">
      <c r="C91" t="s">
        <v>729</v>
      </c>
      <c r="D91">
        <v>45</v>
      </c>
      <c r="E91">
        <v>2.75</v>
      </c>
      <c r="F91">
        <v>23</v>
      </c>
      <c r="H91">
        <v>24.3</v>
      </c>
      <c r="J91" t="s">
        <v>737</v>
      </c>
      <c r="K91" s="43"/>
      <c r="L91">
        <f t="shared" si="3"/>
        <v>1.375</v>
      </c>
    </row>
  </sheetData>
  <mergeCells count="1">
    <mergeCell ref="C16:J16"/>
  </mergeCells>
  <phoneticPr fontId="2" type="noConversion"/>
  <pageMargins left="0.78740157499999996" right="0.78740157499999996" top="0.984251969" bottom="0.984251969" header="0.5" footer="0.5"/>
  <headerFooter alignWithMargins="0"/>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94"/>
  <sheetViews>
    <sheetView workbookViewId="0">
      <selection activeCell="B9" sqref="B9"/>
    </sheetView>
  </sheetViews>
  <sheetFormatPr baseColWidth="10" defaultRowHeight="12.75" x14ac:dyDescent="0.2"/>
  <sheetData>
    <row r="1" spans="1:9" x14ac:dyDescent="0.2">
      <c r="A1" t="s">
        <v>703</v>
      </c>
      <c r="B1">
        <v>2.919</v>
      </c>
    </row>
    <row r="2" spans="1:9" x14ac:dyDescent="0.2">
      <c r="A2" t="s">
        <v>704</v>
      </c>
      <c r="B2">
        <v>9.3899999999999997E-2</v>
      </c>
      <c r="G2" s="80" t="s">
        <v>705</v>
      </c>
      <c r="H2" s="81">
        <v>0.35548485119937417</v>
      </c>
    </row>
    <row r="3" spans="1:9" x14ac:dyDescent="0.2">
      <c r="A3" t="s">
        <v>706</v>
      </c>
      <c r="B3">
        <v>10.0161</v>
      </c>
      <c r="G3" s="80" t="s">
        <v>707</v>
      </c>
      <c r="H3" s="81">
        <v>8.1286783537227222E-2</v>
      </c>
    </row>
    <row r="4" spans="1:9" x14ac:dyDescent="0.2">
      <c r="A4" t="s">
        <v>708</v>
      </c>
      <c r="B4">
        <v>1.3620000000000001</v>
      </c>
      <c r="F4" s="82" t="s">
        <v>709</v>
      </c>
    </row>
    <row r="5" spans="1:9" x14ac:dyDescent="0.2">
      <c r="C5" t="s">
        <v>710</v>
      </c>
      <c r="D5" t="s">
        <v>711</v>
      </c>
      <c r="E5" t="s">
        <v>712</v>
      </c>
      <c r="G5" t="s">
        <v>713</v>
      </c>
    </row>
    <row r="6" spans="1:9" x14ac:dyDescent="0.2">
      <c r="A6">
        <v>1</v>
      </c>
      <c r="B6">
        <f t="shared" ref="B6:B46" si="0">EXP(-(POWER(A6/$B$3,$B$4)))</f>
        <v>0.95757050805151811</v>
      </c>
      <c r="C6">
        <f t="shared" ref="C6:C46" si="1">($B$1+$B$2*A6)*(1-B6)</f>
        <v>0.12783581629158108</v>
      </c>
      <c r="D6">
        <f t="shared" ref="D6:D46" si="2">C6/2</f>
        <v>6.3917908145790542E-2</v>
      </c>
      <c r="E6">
        <f t="shared" ref="E6:E46" si="3">C6*C6*PI()/4</f>
        <v>1.2834973587263225E-2</v>
      </c>
      <c r="F6">
        <f t="shared" ref="F6:F46" si="4">$H$2+$H$3*A6</f>
        <v>0.43677163473660141</v>
      </c>
      <c r="G6">
        <f t="shared" ref="G6:G46" si="5">(D6-F6)^2</f>
        <v>0.13901990143265514</v>
      </c>
      <c r="I6">
        <f t="shared" ref="I6:I46" si="6">F6*2</f>
        <v>0.87354326947320282</v>
      </c>
    </row>
    <row r="7" spans="1:9" x14ac:dyDescent="0.2">
      <c r="A7">
        <v>2</v>
      </c>
      <c r="B7">
        <f t="shared" si="0"/>
        <v>0.89454272417811254</v>
      </c>
      <c r="C7">
        <f t="shared" si="1"/>
        <v>0.32763466452343998</v>
      </c>
      <c r="D7">
        <f t="shared" si="2"/>
        <v>0.16381733226171999</v>
      </c>
      <c r="E7">
        <f t="shared" si="3"/>
        <v>8.4308152257174043E-2</v>
      </c>
      <c r="F7">
        <f t="shared" si="4"/>
        <v>0.51805841827382859</v>
      </c>
      <c r="G7">
        <f t="shared" si="5"/>
        <v>0.12548674701903811</v>
      </c>
      <c r="I7">
        <f t="shared" si="6"/>
        <v>1.0361168365476572</v>
      </c>
    </row>
    <row r="8" spans="1:9" x14ac:dyDescent="0.2">
      <c r="A8">
        <v>3</v>
      </c>
      <c r="B8">
        <f t="shared" si="0"/>
        <v>0.82399395967250333</v>
      </c>
      <c r="C8">
        <f t="shared" si="1"/>
        <v>0.56334253327621853</v>
      </c>
      <c r="D8">
        <f t="shared" si="2"/>
        <v>0.28167126663810926</v>
      </c>
      <c r="E8">
        <f t="shared" si="3"/>
        <v>0.24924988476074866</v>
      </c>
      <c r="F8">
        <f t="shared" si="4"/>
        <v>0.59934520181105588</v>
      </c>
      <c r="G8">
        <f t="shared" si="5"/>
        <v>0.10091672908826549</v>
      </c>
      <c r="I8">
        <f t="shared" si="6"/>
        <v>1.1986904036221118</v>
      </c>
    </row>
    <row r="9" spans="1:9" x14ac:dyDescent="0.2">
      <c r="A9">
        <v>4</v>
      </c>
      <c r="B9">
        <f t="shared" si="0"/>
        <v>0.75092198996061865</v>
      </c>
      <c r="C9">
        <f t="shared" si="1"/>
        <v>0.82061241187574574</v>
      </c>
      <c r="D9">
        <f t="shared" si="2"/>
        <v>0.41030620593787287</v>
      </c>
      <c r="E9">
        <f t="shared" si="3"/>
        <v>0.52889083857711827</v>
      </c>
      <c r="F9">
        <f t="shared" si="4"/>
        <v>0.68063198534828306</v>
      </c>
      <c r="G9">
        <f t="shared" si="5"/>
        <v>7.3076027013845746E-2</v>
      </c>
      <c r="I9">
        <f t="shared" si="6"/>
        <v>1.3612639706965661</v>
      </c>
    </row>
    <row r="10" spans="1:9" x14ac:dyDescent="0.2">
      <c r="A10">
        <v>5</v>
      </c>
      <c r="B10">
        <f t="shared" si="0"/>
        <v>0.67828270624894682</v>
      </c>
      <c r="C10">
        <f t="shared" si="1"/>
        <v>1.0901390498754437</v>
      </c>
      <c r="D10">
        <f t="shared" si="2"/>
        <v>0.54506952493772187</v>
      </c>
      <c r="E10">
        <f t="shared" si="3"/>
        <v>0.93336964986468929</v>
      </c>
      <c r="F10">
        <f t="shared" si="4"/>
        <v>0.76191876888551024</v>
      </c>
      <c r="G10">
        <f t="shared" si="5"/>
        <v>4.7023594600727435E-2</v>
      </c>
      <c r="I10">
        <f t="shared" si="6"/>
        <v>1.5238375377710205</v>
      </c>
    </row>
    <row r="11" spans="1:9" x14ac:dyDescent="0.2">
      <c r="A11">
        <v>6</v>
      </c>
      <c r="B11">
        <f t="shared" si="0"/>
        <v>0.60798106830540311</v>
      </c>
      <c r="C11">
        <f t="shared" si="1"/>
        <v>1.3651667277332642</v>
      </c>
      <c r="D11">
        <f t="shared" si="2"/>
        <v>0.6825833638666321</v>
      </c>
      <c r="E11">
        <f t="shared" si="3"/>
        <v>1.4637310019283125</v>
      </c>
      <c r="F11">
        <f t="shared" si="4"/>
        <v>0.84320555242273754</v>
      </c>
      <c r="G11">
        <f t="shared" si="5"/>
        <v>2.579948745655309E-2</v>
      </c>
      <c r="I11">
        <f t="shared" si="6"/>
        <v>1.6864111048454751</v>
      </c>
    </row>
    <row r="12" spans="1:9" x14ac:dyDescent="0.2">
      <c r="A12">
        <v>7</v>
      </c>
      <c r="B12">
        <f t="shared" si="0"/>
        <v>0.54125556404667463</v>
      </c>
      <c r="C12">
        <f t="shared" si="1"/>
        <v>1.6406077262998775</v>
      </c>
      <c r="D12">
        <f t="shared" si="2"/>
        <v>0.82030386314993875</v>
      </c>
      <c r="E12">
        <f t="shared" si="3"/>
        <v>2.1139727576987193</v>
      </c>
      <c r="F12">
        <f t="shared" si="4"/>
        <v>0.92449233595996483</v>
      </c>
      <c r="G12">
        <f t="shared" si="5"/>
        <v>1.0855237866485543E-2</v>
      </c>
      <c r="I12">
        <f t="shared" si="6"/>
        <v>1.8489846719199297</v>
      </c>
    </row>
    <row r="13" spans="1:9" x14ac:dyDescent="0.2">
      <c r="A13">
        <v>8</v>
      </c>
      <c r="B13">
        <f t="shared" si="0"/>
        <v>0.47888072235305795</v>
      </c>
      <c r="C13">
        <f t="shared" si="1"/>
        <v>1.9126119728198065</v>
      </c>
      <c r="D13">
        <f t="shared" si="2"/>
        <v>0.95630598640990327</v>
      </c>
      <c r="E13">
        <f t="shared" si="3"/>
        <v>2.8730528938563276</v>
      </c>
      <c r="F13">
        <f t="shared" si="4"/>
        <v>1.0057791194971919</v>
      </c>
      <c r="G13">
        <f t="shared" si="5"/>
        <v>2.4475908974725723E-3</v>
      </c>
      <c r="I13">
        <f t="shared" si="6"/>
        <v>2.0115582389943838</v>
      </c>
    </row>
    <row r="14" spans="1:9" x14ac:dyDescent="0.2">
      <c r="A14">
        <v>9</v>
      </c>
      <c r="B14">
        <f t="shared" si="0"/>
        <v>0.42129421707997411</v>
      </c>
      <c r="C14">
        <f t="shared" si="1"/>
        <v>2.1783064374892698</v>
      </c>
      <c r="D14">
        <f t="shared" si="2"/>
        <v>1.0891532187446349</v>
      </c>
      <c r="E14">
        <f t="shared" si="3"/>
        <v>3.7267291573120054</v>
      </c>
      <c r="F14">
        <f t="shared" si="4"/>
        <v>1.0870659030344192</v>
      </c>
      <c r="G14">
        <f t="shared" si="5"/>
        <v>4.3568868741132637E-6</v>
      </c>
      <c r="I14">
        <f t="shared" si="6"/>
        <v>2.1741318060688384</v>
      </c>
    </row>
    <row r="15" spans="1:9" x14ac:dyDescent="0.2">
      <c r="A15">
        <v>10</v>
      </c>
      <c r="B15">
        <f t="shared" si="0"/>
        <v>0.36868548523103717</v>
      </c>
      <c r="C15">
        <f t="shared" si="1"/>
        <v>2.4356113979786587</v>
      </c>
      <c r="D15">
        <f t="shared" si="2"/>
        <v>1.2178056989893293</v>
      </c>
      <c r="E15">
        <f t="shared" si="3"/>
        <v>4.6591412483952261</v>
      </c>
      <c r="F15">
        <f t="shared" si="4"/>
        <v>1.1683526865716465</v>
      </c>
      <c r="G15">
        <f t="shared" si="5"/>
        <v>2.4456004371834943E-3</v>
      </c>
      <c r="I15">
        <f t="shared" si="6"/>
        <v>2.336705373143293</v>
      </c>
    </row>
    <row r="16" spans="1:9" x14ac:dyDescent="0.2">
      <c r="A16">
        <v>11</v>
      </c>
      <c r="B16">
        <f t="shared" si="0"/>
        <v>0.32106143286669192</v>
      </c>
      <c r="C16">
        <f t="shared" si="1"/>
        <v>2.6830973234541204</v>
      </c>
      <c r="D16">
        <f t="shared" si="2"/>
        <v>1.3415486617270602</v>
      </c>
      <c r="E16">
        <f t="shared" si="3"/>
        <v>5.6540902117708569</v>
      </c>
      <c r="F16">
        <f t="shared" si="4"/>
        <v>1.2496394701088736</v>
      </c>
      <c r="G16">
        <f t="shared" si="5"/>
        <v>8.4472995039085556E-3</v>
      </c>
      <c r="I16">
        <f t="shared" si="6"/>
        <v>2.4992789402177471</v>
      </c>
    </row>
    <row r="17" spans="1:9" x14ac:dyDescent="0.2">
      <c r="A17">
        <v>12</v>
      </c>
      <c r="B17">
        <f t="shared" si="0"/>
        <v>0.2782968310962865</v>
      </c>
      <c r="C17">
        <f t="shared" si="1"/>
        <v>2.9198666807506437</v>
      </c>
      <c r="D17">
        <f t="shared" si="2"/>
        <v>1.4599333403753219</v>
      </c>
      <c r="E17">
        <f t="shared" si="3"/>
        <v>6.6960074155811213</v>
      </c>
      <c r="F17">
        <f t="shared" si="4"/>
        <v>1.3309262536461008</v>
      </c>
      <c r="G17">
        <f t="shared" si="5"/>
        <v>1.6642828426360751E-2</v>
      </c>
      <c r="I17">
        <f t="shared" si="6"/>
        <v>2.6618525072922017</v>
      </c>
    </row>
    <row r="18" spans="1:9" x14ac:dyDescent="0.2">
      <c r="A18">
        <v>13</v>
      </c>
      <c r="B18">
        <f t="shared" si="0"/>
        <v>0.24017360257509976</v>
      </c>
      <c r="C18">
        <f t="shared" si="1"/>
        <v>3.145453337419859</v>
      </c>
      <c r="D18">
        <f t="shared" si="2"/>
        <v>1.5727266687099295</v>
      </c>
      <c r="E18">
        <f t="shared" si="3"/>
        <v>7.7706325874002626</v>
      </c>
      <c r="F18">
        <f t="shared" si="4"/>
        <v>1.4122130371833281</v>
      </c>
      <c r="G18">
        <f t="shared" si="5"/>
        <v>2.5764625905857555E-2</v>
      </c>
      <c r="I18">
        <f t="shared" si="6"/>
        <v>2.8244260743666563</v>
      </c>
    </row>
    <row r="19" spans="1:9" x14ac:dyDescent="0.2">
      <c r="A19">
        <v>14</v>
      </c>
      <c r="B19">
        <f t="shared" si="0"/>
        <v>0.20641159164835865</v>
      </c>
      <c r="C19">
        <f t="shared" si="1"/>
        <v>3.3597358855975088</v>
      </c>
      <c r="D19">
        <f t="shared" si="2"/>
        <v>1.6798679427987544</v>
      </c>
      <c r="E19">
        <f t="shared" si="3"/>
        <v>8.8654371973025512</v>
      </c>
      <c r="F19">
        <f t="shared" si="4"/>
        <v>1.4934998207205554</v>
      </c>
      <c r="G19">
        <f t="shared" si="5"/>
        <v>3.4733076926954473E-2</v>
      </c>
      <c r="I19">
        <f t="shared" si="6"/>
        <v>2.9869996414411109</v>
      </c>
    </row>
    <row r="20" spans="1:9" x14ac:dyDescent="0.2">
      <c r="A20">
        <v>15</v>
      </c>
      <c r="B20">
        <f t="shared" si="0"/>
        <v>0.17669258251846046</v>
      </c>
      <c r="C20">
        <f t="shared" si="1"/>
        <v>3.5628628491513621</v>
      </c>
      <c r="D20">
        <f t="shared" si="2"/>
        <v>1.781431424575681</v>
      </c>
      <c r="E20">
        <f t="shared" si="3"/>
        <v>9.9698377531176554</v>
      </c>
      <c r="F20">
        <f t="shared" si="4"/>
        <v>1.5747866042577825</v>
      </c>
      <c r="G20">
        <f t="shared" si="5"/>
        <v>4.2702081764216575E-2</v>
      </c>
      <c r="I20">
        <f t="shared" si="6"/>
        <v>3.149573208515565</v>
      </c>
    </row>
    <row r="21" spans="1:9" x14ac:dyDescent="0.2">
      <c r="A21">
        <v>16</v>
      </c>
      <c r="B21">
        <f t="shared" si="0"/>
        <v>0.15067886464080096</v>
      </c>
      <c r="C21">
        <f t="shared" si="1"/>
        <v>3.7551884678771628</v>
      </c>
      <c r="D21">
        <f t="shared" si="2"/>
        <v>1.8775942339385814</v>
      </c>
      <c r="E21">
        <f t="shared" si="3"/>
        <v>11.075245414413176</v>
      </c>
      <c r="F21">
        <f t="shared" si="4"/>
        <v>1.6560733877950098</v>
      </c>
      <c r="G21">
        <f t="shared" si="5"/>
        <v>4.9071485276163916E-2</v>
      </c>
      <c r="I21">
        <f t="shared" si="6"/>
        <v>3.3121467755900196</v>
      </c>
    </row>
    <row r="22" spans="1:9" x14ac:dyDescent="0.2">
      <c r="A22">
        <v>17</v>
      </c>
      <c r="B22">
        <f t="shared" si="0"/>
        <v>0.12802735937562373</v>
      </c>
      <c r="C22">
        <f t="shared" si="1"/>
        <v>3.9372180642112462</v>
      </c>
      <c r="D22">
        <f t="shared" si="2"/>
        <v>1.9686090321056231</v>
      </c>
      <c r="E22">
        <f t="shared" si="3"/>
        <v>12.174995780841652</v>
      </c>
      <c r="F22">
        <f t="shared" si="4"/>
        <v>1.7373601713322371</v>
      </c>
      <c r="G22">
        <f t="shared" si="5"/>
        <v>5.3476035608988871E-2</v>
      </c>
      <c r="I22">
        <f t="shared" si="6"/>
        <v>3.4747203426644742</v>
      </c>
    </row>
    <row r="23" spans="1:9" x14ac:dyDescent="0.2">
      <c r="A23">
        <v>18</v>
      </c>
      <c r="B23">
        <f t="shared" si="0"/>
        <v>0.10840013053698398</v>
      </c>
      <c r="C23">
        <f t="shared" si="1"/>
        <v>4.1095621183289328</v>
      </c>
      <c r="D23">
        <f t="shared" si="2"/>
        <v>2.0547810591644664</v>
      </c>
      <c r="E23">
        <f t="shared" si="3"/>
        <v>13.264197514315374</v>
      </c>
      <c r="F23">
        <f t="shared" si="4"/>
        <v>1.8186469548694641</v>
      </c>
      <c r="G23">
        <f t="shared" si="5"/>
        <v>5.5759315211203003E-2</v>
      </c>
      <c r="I23">
        <f t="shared" si="6"/>
        <v>3.6372939097389283</v>
      </c>
    </row>
    <row r="24" spans="1:9" x14ac:dyDescent="0.2">
      <c r="A24">
        <v>19</v>
      </c>
      <c r="B24">
        <f t="shared" si="0"/>
        <v>9.1471961646026292E-2</v>
      </c>
      <c r="C24">
        <f t="shared" si="1"/>
        <v>4.2728982171825738</v>
      </c>
      <c r="D24">
        <f t="shared" si="2"/>
        <v>2.1364491085912869</v>
      </c>
      <c r="E24">
        <f t="shared" si="3"/>
        <v>14.339531983511916</v>
      </c>
      <c r="F24">
        <f t="shared" si="4"/>
        <v>1.8999337384066914</v>
      </c>
      <c r="G24">
        <f t="shared" si="5"/>
        <v>5.5939520333556224E-2</v>
      </c>
      <c r="I24">
        <f t="shared" si="6"/>
        <v>3.7998674768133829</v>
      </c>
    </row>
    <row r="25" spans="1:9" x14ac:dyDescent="0.2">
      <c r="A25">
        <v>20</v>
      </c>
      <c r="B25">
        <f t="shared" si="0"/>
        <v>7.6935573087254905E-2</v>
      </c>
      <c r="C25">
        <f t="shared" si="1"/>
        <v>4.4279400559004376</v>
      </c>
      <c r="D25">
        <f t="shared" si="2"/>
        <v>2.2139700279502188</v>
      </c>
      <c r="E25">
        <f t="shared" si="3"/>
        <v>15.399029365464616</v>
      </c>
      <c r="F25">
        <f t="shared" si="4"/>
        <v>1.9812205219439187</v>
      </c>
      <c r="G25">
        <f t="shared" si="5"/>
        <v>5.4172332546176712E-2</v>
      </c>
      <c r="I25">
        <f t="shared" si="6"/>
        <v>3.9624410438878375</v>
      </c>
    </row>
    <row r="26" spans="1:9" x14ac:dyDescent="0.2">
      <c r="A26">
        <v>21</v>
      </c>
      <c r="B26">
        <f t="shared" si="0"/>
        <v>6.4504961985669088E-2</v>
      </c>
      <c r="C26">
        <f t="shared" si="1"/>
        <v>4.5754126814242913</v>
      </c>
      <c r="D26">
        <f t="shared" si="2"/>
        <v>2.2877063407121456</v>
      </c>
      <c r="E26">
        <f t="shared" si="3"/>
        <v>16.441840258497969</v>
      </c>
      <c r="F26">
        <f t="shared" si="4"/>
        <v>2.0625073054811458</v>
      </c>
      <c r="G26">
        <f t="shared" si="5"/>
        <v>5.0714605468973099E-2</v>
      </c>
      <c r="I26">
        <f t="shared" si="6"/>
        <v>4.1250146109622916</v>
      </c>
    </row>
    <row r="27" spans="1:9" x14ac:dyDescent="0.2">
      <c r="A27">
        <v>22</v>
      </c>
      <c r="B27">
        <f t="shared" si="0"/>
        <v>5.3917270696248479E-2</v>
      </c>
      <c r="C27">
        <f t="shared" si="1"/>
        <v>4.7160331890333405</v>
      </c>
      <c r="D27">
        <f t="shared" si="2"/>
        <v>2.3580165945166702</v>
      </c>
      <c r="E27">
        <f t="shared" si="3"/>
        <v>17.468016236245759</v>
      </c>
      <c r="F27">
        <f t="shared" si="4"/>
        <v>2.1437940890183729</v>
      </c>
      <c r="G27">
        <f t="shared" si="5"/>
        <v>4.5891281861968038E-2</v>
      </c>
      <c r="I27">
        <f t="shared" si="6"/>
        <v>4.2875881780367457</v>
      </c>
    </row>
    <row r="28" spans="1:9" x14ac:dyDescent="0.2">
      <c r="A28">
        <v>23</v>
      </c>
      <c r="B28">
        <f t="shared" si="0"/>
        <v>4.4933523220056282E-2</v>
      </c>
      <c r="C28">
        <f t="shared" si="1"/>
        <v>4.8504961156222999</v>
      </c>
      <c r="D28">
        <f t="shared" si="2"/>
        <v>2.4252480578111499</v>
      </c>
      <c r="E28">
        <f t="shared" si="3"/>
        <v>18.47830808032338</v>
      </c>
      <c r="F28">
        <f t="shared" si="4"/>
        <v>2.2250808725556004</v>
      </c>
      <c r="G28">
        <f t="shared" si="5"/>
        <v>4.0066902053129495E-2</v>
      </c>
      <c r="I28">
        <f t="shared" si="6"/>
        <v>4.4501617451112008</v>
      </c>
    </row>
    <row r="29" spans="1:9" x14ac:dyDescent="0.2">
      <c r="A29">
        <v>24</v>
      </c>
      <c r="B29">
        <f t="shared" si="0"/>
        <v>3.7338510883181721E-2</v>
      </c>
      <c r="C29">
        <f t="shared" si="1"/>
        <v>4.9794628186056542</v>
      </c>
      <c r="D29">
        <f t="shared" si="2"/>
        <v>2.4897314093028271</v>
      </c>
      <c r="E29">
        <f t="shared" si="3"/>
        <v>19.473986701405511</v>
      </c>
      <c r="F29">
        <f t="shared" si="4"/>
        <v>2.3063676560928275</v>
      </c>
      <c r="G29">
        <f t="shared" si="5"/>
        <v>3.3622265991257658E-2</v>
      </c>
      <c r="I29">
        <f t="shared" si="6"/>
        <v>4.6127353121856549</v>
      </c>
    </row>
    <row r="30" spans="1:9" x14ac:dyDescent="0.2">
      <c r="A30">
        <v>25</v>
      </c>
      <c r="B30">
        <f t="shared" si="0"/>
        <v>3.0940058158625751E-2</v>
      </c>
      <c r="C30">
        <f t="shared" si="1"/>
        <v>5.1035541837075984</v>
      </c>
      <c r="D30">
        <f t="shared" si="2"/>
        <v>2.5517770918537992</v>
      </c>
      <c r="E30">
        <f t="shared" si="3"/>
        <v>20.456688934725967</v>
      </c>
      <c r="F30">
        <f t="shared" si="4"/>
        <v>2.387654439630055</v>
      </c>
      <c r="G30">
        <f t="shared" si="5"/>
        <v>2.6936244972956096E-2</v>
      </c>
      <c r="I30">
        <f t="shared" si="6"/>
        <v>4.7753088792601099</v>
      </c>
    </row>
    <row r="31" spans="1:9" x14ac:dyDescent="0.2">
      <c r="A31">
        <v>26</v>
      </c>
      <c r="B31">
        <f t="shared" si="0"/>
        <v>2.5567855819029102E-2</v>
      </c>
      <c r="C31">
        <f t="shared" si="1"/>
        <v>5.2233460656676769</v>
      </c>
      <c r="D31">
        <f t="shared" si="2"/>
        <v>2.6116730328338384</v>
      </c>
      <c r="E31">
        <f t="shared" si="3"/>
        <v>21.428288364544166</v>
      </c>
      <c r="F31">
        <f t="shared" si="4"/>
        <v>2.468941223167282</v>
      </c>
      <c r="G31">
        <f t="shared" si="5"/>
        <v>2.0372369490690087E-2</v>
      </c>
      <c r="I31">
        <f t="shared" si="6"/>
        <v>4.9378824463345641</v>
      </c>
    </row>
    <row r="32" spans="1:9" x14ac:dyDescent="0.2">
      <c r="A32">
        <v>27</v>
      </c>
      <c r="B32">
        <f t="shared" si="0"/>
        <v>2.1072011062348493E-2</v>
      </c>
      <c r="C32">
        <f t="shared" si="1"/>
        <v>5.3393669300626323</v>
      </c>
      <c r="D32">
        <f t="shared" si="2"/>
        <v>2.6696834650313161</v>
      </c>
      <c r="E32">
        <f t="shared" si="3"/>
        <v>22.390789959148162</v>
      </c>
      <c r="F32">
        <f t="shared" si="4"/>
        <v>2.5502280067045091</v>
      </c>
      <c r="G32">
        <f t="shared" si="5"/>
        <v>1.4269606524067533E-2</v>
      </c>
      <c r="I32">
        <f t="shared" si="6"/>
        <v>5.1004560134090182</v>
      </c>
    </row>
    <row r="33" spans="1:16" x14ac:dyDescent="0.2">
      <c r="A33">
        <v>28</v>
      </c>
      <c r="B33">
        <f t="shared" si="0"/>
        <v>1.7321432291063435E-2</v>
      </c>
      <c r="C33">
        <f t="shared" si="1"/>
        <v>5.4520972293627219</v>
      </c>
      <c r="D33">
        <f t="shared" si="2"/>
        <v>2.7260486146813609</v>
      </c>
      <c r="E33">
        <f t="shared" si="3"/>
        <v>23.346246447762997</v>
      </c>
      <c r="F33">
        <f t="shared" si="4"/>
        <v>2.6315147902417366</v>
      </c>
      <c r="G33">
        <f t="shared" si="5"/>
        <v>8.9366439631817143E-3</v>
      </c>
      <c r="I33">
        <f t="shared" si="6"/>
        <v>5.2630295804834732</v>
      </c>
    </row>
    <row r="34" spans="1:16" x14ac:dyDescent="0.2">
      <c r="A34">
        <v>29</v>
      </c>
      <c r="B34">
        <f t="shared" si="0"/>
        <v>1.4202139305906553E-2</v>
      </c>
      <c r="C34">
        <f t="shared" si="1"/>
        <v>5.5619701098221448</v>
      </c>
      <c r="D34">
        <f t="shared" si="2"/>
        <v>2.7809850549110724</v>
      </c>
      <c r="E34">
        <f t="shared" si="3"/>
        <v>24.296693917867305</v>
      </c>
      <c r="F34">
        <f t="shared" si="4"/>
        <v>2.7128015737789637</v>
      </c>
      <c r="G34">
        <f t="shared" si="5"/>
        <v>4.6489870992926239E-3</v>
      </c>
      <c r="I34">
        <f t="shared" si="6"/>
        <v>5.4256031475579274</v>
      </c>
    </row>
    <row r="35" spans="1:16" x14ac:dyDescent="0.2">
      <c r="A35">
        <v>30</v>
      </c>
      <c r="B35">
        <f t="shared" si="0"/>
        <v>1.1615567264795628E-2</v>
      </c>
      <c r="C35">
        <f t="shared" si="1"/>
        <v>5.6693731061691324</v>
      </c>
      <c r="D35">
        <f t="shared" si="2"/>
        <v>2.8346865530845662</v>
      </c>
      <c r="E35">
        <f t="shared" si="3"/>
        <v>25.244103947179411</v>
      </c>
      <c r="F35">
        <f t="shared" si="4"/>
        <v>2.7940883573161908</v>
      </c>
      <c r="G35">
        <f t="shared" si="5"/>
        <v>1.648213499647336E-3</v>
      </c>
      <c r="I35">
        <f t="shared" si="6"/>
        <v>5.5881767146323815</v>
      </c>
    </row>
    <row r="36" spans="1:16" x14ac:dyDescent="0.2">
      <c r="A36">
        <v>31</v>
      </c>
      <c r="B36">
        <f t="shared" si="0"/>
        <v>9.4769143355875173E-3</v>
      </c>
      <c r="C36">
        <f t="shared" si="1"/>
        <v>5.774650537114959</v>
      </c>
      <c r="D36">
        <f t="shared" si="2"/>
        <v>2.8873252685574795</v>
      </c>
      <c r="E36">
        <f t="shared" si="3"/>
        <v>26.19034961935483</v>
      </c>
      <c r="F36">
        <f t="shared" si="4"/>
        <v>2.8753751408534183</v>
      </c>
      <c r="G36">
        <f t="shared" si="5"/>
        <v>1.4280555214337174E-4</v>
      </c>
      <c r="I36">
        <f t="shared" si="6"/>
        <v>5.7507502817068366</v>
      </c>
    </row>
    <row r="37" spans="1:16" x14ac:dyDescent="0.2">
      <c r="A37">
        <v>32</v>
      </c>
      <c r="B37">
        <f t="shared" si="0"/>
        <v>7.7135680348654157E-3</v>
      </c>
      <c r="C37">
        <f t="shared" si="1"/>
        <v>5.8781063656750643</v>
      </c>
      <c r="D37">
        <f t="shared" si="2"/>
        <v>2.9390531828375321</v>
      </c>
      <c r="E37">
        <f t="shared" si="3"/>
        <v>27.137182935499109</v>
      </c>
      <c r="F37">
        <f t="shared" si="4"/>
        <v>2.9566619243906453</v>
      </c>
      <c r="G37">
        <f t="shared" si="5"/>
        <v>3.1006777908433564E-4</v>
      </c>
      <c r="I37">
        <f t="shared" si="6"/>
        <v>5.9133238487812907</v>
      </c>
    </row>
    <row r="38" spans="1:16" x14ac:dyDescent="0.2">
      <c r="A38">
        <v>33</v>
      </c>
      <c r="B38">
        <f t="shared" si="0"/>
        <v>6.2636333176846583E-3</v>
      </c>
      <c r="C38">
        <f t="shared" si="1"/>
        <v>5.9800073337841688</v>
      </c>
      <c r="D38">
        <f t="shared" si="2"/>
        <v>2.9900036668920844</v>
      </c>
      <c r="E38">
        <f t="shared" si="3"/>
        <v>28.086221371290129</v>
      </c>
      <c r="F38">
        <f t="shared" si="4"/>
        <v>3.0379487079278724</v>
      </c>
      <c r="G38">
        <f t="shared" si="5"/>
        <v>2.2987269599233956E-3</v>
      </c>
      <c r="I38">
        <f t="shared" si="6"/>
        <v>6.0758974158557448</v>
      </c>
    </row>
    <row r="39" spans="1:16" x14ac:dyDescent="0.2">
      <c r="A39">
        <v>34</v>
      </c>
      <c r="B39">
        <f t="shared" si="0"/>
        <v>5.0745761212789191E-3</v>
      </c>
      <c r="C39">
        <f t="shared" si="1"/>
        <v>6.0805862205771914</v>
      </c>
      <c r="D39">
        <f t="shared" si="2"/>
        <v>3.0402931102885957</v>
      </c>
      <c r="E39">
        <f t="shared" si="3"/>
        <v>29.038941602747506</v>
      </c>
      <c r="F39">
        <f t="shared" si="4"/>
        <v>3.1192354914650999</v>
      </c>
      <c r="G39">
        <f t="shared" si="5"/>
        <v>6.2318995458164857E-3</v>
      </c>
      <c r="I39">
        <f t="shared" si="6"/>
        <v>6.2384709829301999</v>
      </c>
    </row>
    <row r="40" spans="1:16" x14ac:dyDescent="0.2">
      <c r="A40">
        <v>35</v>
      </c>
      <c r="B40">
        <f t="shared" si="0"/>
        <v>4.1019888630600028E-3</v>
      </c>
      <c r="C40">
        <f t="shared" si="1"/>
        <v>6.1800451081102805</v>
      </c>
      <c r="D40">
        <f t="shared" si="2"/>
        <v>3.0900225540551403</v>
      </c>
      <c r="E40">
        <f t="shared" si="3"/>
        <v>29.996678705280118</v>
      </c>
      <c r="F40">
        <f t="shared" si="4"/>
        <v>3.200522275002327</v>
      </c>
      <c r="G40">
        <f t="shared" si="5"/>
        <v>1.221018832940614E-2</v>
      </c>
      <c r="I40">
        <f t="shared" si="6"/>
        <v>6.401044550004654</v>
      </c>
    </row>
    <row r="41" spans="1:16" x14ac:dyDescent="0.2">
      <c r="A41">
        <v>36</v>
      </c>
      <c r="B41">
        <f t="shared" si="0"/>
        <v>3.3084789842589787E-3</v>
      </c>
      <c r="C41">
        <f t="shared" si="1"/>
        <v>6.2785585674865594</v>
      </c>
      <c r="D41">
        <f t="shared" si="2"/>
        <v>3.1392792837432797</v>
      </c>
      <c r="E41">
        <f t="shared" si="3"/>
        <v>30.960629402661542</v>
      </c>
      <c r="F41">
        <f t="shared" si="4"/>
        <v>3.2818090585395541</v>
      </c>
      <c r="G41">
        <f t="shared" si="5"/>
        <v>2.031473670347669E-2</v>
      </c>
      <c r="I41">
        <f t="shared" si="6"/>
        <v>6.5636181170791081</v>
      </c>
    </row>
    <row r="42" spans="1:16" x14ac:dyDescent="0.2">
      <c r="A42">
        <v>37</v>
      </c>
      <c r="B42">
        <f t="shared" si="0"/>
        <v>2.6626776912746734E-3</v>
      </c>
      <c r="C42">
        <f t="shared" si="1"/>
        <v>6.3762767027163738</v>
      </c>
      <c r="D42">
        <f t="shared" si="2"/>
        <v>3.1881383513581869</v>
      </c>
      <c r="E42">
        <f t="shared" si="3"/>
        <v>31.931858194099945</v>
      </c>
      <c r="F42">
        <f t="shared" si="4"/>
        <v>3.3630958420767816</v>
      </c>
      <c r="G42">
        <f t="shared" si="5"/>
        <v>3.0610123558547142E-2</v>
      </c>
      <c r="I42">
        <f t="shared" si="6"/>
        <v>6.7261916841535632</v>
      </c>
    </row>
    <row r="43" spans="1:16" x14ac:dyDescent="0.2">
      <c r="A43">
        <v>38</v>
      </c>
      <c r="B43">
        <f t="shared" si="0"/>
        <v>2.1383632943115321E-3</v>
      </c>
      <c r="C43">
        <f t="shared" si="1"/>
        <v>6.4733280096371422</v>
      </c>
      <c r="D43">
        <f t="shared" si="2"/>
        <v>3.2366640048185711</v>
      </c>
      <c r="E43">
        <f t="shared" si="3"/>
        <v>32.911305412736695</v>
      </c>
      <c r="F43">
        <f t="shared" si="4"/>
        <v>3.4443826256140087</v>
      </c>
      <c r="G43">
        <f t="shared" si="5"/>
        <v>4.3147025425158789E-2</v>
      </c>
      <c r="I43">
        <f t="shared" si="6"/>
        <v>6.8887652512280173</v>
      </c>
    </row>
    <row r="44" spans="1:16" x14ac:dyDescent="0.2">
      <c r="A44">
        <v>39</v>
      </c>
      <c r="B44">
        <f t="shared" si="0"/>
        <v>1.7136917336528323E-3</v>
      </c>
      <c r="C44">
        <f t="shared" si="1"/>
        <v>6.569822023331656</v>
      </c>
      <c r="D44">
        <f t="shared" si="2"/>
        <v>3.284911011665828</v>
      </c>
      <c r="E44">
        <f t="shared" si="3"/>
        <v>33.899796465425979</v>
      </c>
      <c r="F44">
        <f t="shared" si="4"/>
        <v>3.5256694091512357</v>
      </c>
      <c r="G44">
        <f t="shared" si="5"/>
        <v>5.796460595974158E-2</v>
      </c>
      <c r="I44">
        <f t="shared" si="6"/>
        <v>7.0513388183024714</v>
      </c>
    </row>
    <row r="45" spans="1:16" x14ac:dyDescent="0.2">
      <c r="A45">
        <v>40</v>
      </c>
      <c r="B45">
        <f t="shared" si="0"/>
        <v>1.370525811140378E-3</v>
      </c>
      <c r="C45">
        <f t="shared" si="1"/>
        <v>6.6658517402106376</v>
      </c>
      <c r="D45">
        <f t="shared" si="2"/>
        <v>3.3329258701053188</v>
      </c>
      <c r="E45">
        <f t="shared" si="3"/>
        <v>34.898051671581953</v>
      </c>
      <c r="F45">
        <f t="shared" si="4"/>
        <v>3.6069561926884632</v>
      </c>
      <c r="G45">
        <f t="shared" si="5"/>
        <v>7.5092617695022193E-2</v>
      </c>
      <c r="I45">
        <f t="shared" si="6"/>
        <v>7.2139123853769265</v>
      </c>
    </row>
    <row r="46" spans="1:16" x14ac:dyDescent="0.2">
      <c r="A46">
        <v>41</v>
      </c>
      <c r="B46">
        <f t="shared" si="0"/>
        <v>1.0938541349302521E-3</v>
      </c>
      <c r="C46">
        <f t="shared" si="1"/>
        <v>6.7614958107460712</v>
      </c>
      <c r="D46">
        <f t="shared" si="2"/>
        <v>3.3807479053730356</v>
      </c>
      <c r="E46">
        <f t="shared" si="3"/>
        <v>35.90669625977263</v>
      </c>
      <c r="F46">
        <f t="shared" si="4"/>
        <v>3.6882429762256903</v>
      </c>
      <c r="G46">
        <f t="shared" si="5"/>
        <v>9.4553218598679142E-2</v>
      </c>
      <c r="I46">
        <f t="shared" si="6"/>
        <v>7.3764859524513806</v>
      </c>
      <c r="M46" s="82" t="s">
        <v>714</v>
      </c>
    </row>
    <row r="47" spans="1:16" x14ac:dyDescent="0.2">
      <c r="G47">
        <f>SUM(G6:G46)</f>
        <v>1.5137670112346502</v>
      </c>
    </row>
    <row r="48" spans="1:16" x14ac:dyDescent="0.2">
      <c r="O48" s="80" t="s">
        <v>705</v>
      </c>
      <c r="P48" s="81">
        <v>0.49696260964435734</v>
      </c>
    </row>
    <row r="49" spans="1:16" x14ac:dyDescent="0.2">
      <c r="O49" s="80" t="s">
        <v>421</v>
      </c>
      <c r="P49" s="81">
        <v>8.5862894744286031E-2</v>
      </c>
    </row>
    <row r="51" spans="1:16" x14ac:dyDescent="0.2">
      <c r="A51" t="s">
        <v>721</v>
      </c>
      <c r="B51" t="s">
        <v>722</v>
      </c>
      <c r="C51" t="s">
        <v>723</v>
      </c>
      <c r="E51" t="s">
        <v>724</v>
      </c>
      <c r="F51" t="s">
        <v>725</v>
      </c>
      <c r="G51" t="s">
        <v>726</v>
      </c>
      <c r="H51" t="s">
        <v>727</v>
      </c>
      <c r="I51" t="s">
        <v>730</v>
      </c>
      <c r="J51" t="s">
        <v>728</v>
      </c>
      <c r="K51" s="43" t="s">
        <v>736</v>
      </c>
      <c r="L51" t="s">
        <v>738</v>
      </c>
      <c r="M51" t="s">
        <v>715</v>
      </c>
    </row>
    <row r="52" spans="1:16" x14ac:dyDescent="0.2">
      <c r="A52">
        <v>12</v>
      </c>
      <c r="B52" t="s">
        <v>729</v>
      </c>
      <c r="C52">
        <v>9</v>
      </c>
      <c r="E52">
        <v>3.4</v>
      </c>
      <c r="F52">
        <v>7.62</v>
      </c>
      <c r="G52">
        <v>0.44</v>
      </c>
      <c r="H52">
        <v>10.3</v>
      </c>
      <c r="I52">
        <v>7.82</v>
      </c>
      <c r="J52" t="s">
        <v>731</v>
      </c>
      <c r="K52" s="43" t="s">
        <v>122</v>
      </c>
      <c r="L52">
        <f t="shared" ref="L52:L93" si="7">E52/2</f>
        <v>1.7</v>
      </c>
      <c r="M52">
        <f t="shared" ref="M52:M93" si="8">E52/2</f>
        <v>1.7</v>
      </c>
      <c r="N52">
        <f t="shared" ref="N52:N93" si="9">$P$48+$P$49*H52</f>
        <v>1.3813504255105036</v>
      </c>
      <c r="O52">
        <f t="shared" ref="O52:O93" si="10">(M52-N52)^2</f>
        <v>0.10153755132233711</v>
      </c>
      <c r="P52">
        <f t="shared" ref="P52:P93" si="11">N52*2</f>
        <v>2.7627008510210072</v>
      </c>
    </row>
    <row r="53" spans="1:16" x14ac:dyDescent="0.2">
      <c r="A53">
        <v>10</v>
      </c>
      <c r="B53" t="s">
        <v>729</v>
      </c>
      <c r="C53">
        <v>9</v>
      </c>
      <c r="E53">
        <v>2.8</v>
      </c>
      <c r="F53">
        <v>6.3</v>
      </c>
      <c r="G53">
        <v>0.5</v>
      </c>
      <c r="H53">
        <v>9.9</v>
      </c>
      <c r="I53">
        <v>8.44</v>
      </c>
      <c r="J53" t="s">
        <v>731</v>
      </c>
      <c r="K53" s="43" t="s">
        <v>122</v>
      </c>
      <c r="L53">
        <f t="shared" si="7"/>
        <v>1.4</v>
      </c>
      <c r="M53">
        <f t="shared" si="8"/>
        <v>1.4</v>
      </c>
      <c r="N53">
        <f t="shared" si="9"/>
        <v>1.347005267612789</v>
      </c>
      <c r="O53">
        <f t="shared" si="10"/>
        <v>2.808441660792096E-3</v>
      </c>
      <c r="P53">
        <f t="shared" si="11"/>
        <v>2.6940105352255781</v>
      </c>
    </row>
    <row r="54" spans="1:16" x14ac:dyDescent="0.2">
      <c r="A54">
        <v>20</v>
      </c>
      <c r="B54" t="s">
        <v>729</v>
      </c>
      <c r="C54">
        <v>29</v>
      </c>
      <c r="E54">
        <v>5.6</v>
      </c>
      <c r="F54">
        <v>19</v>
      </c>
      <c r="G54">
        <v>8.6</v>
      </c>
      <c r="H54">
        <v>23.4</v>
      </c>
      <c r="I54">
        <v>15</v>
      </c>
      <c r="J54" t="s">
        <v>731</v>
      </c>
      <c r="K54" s="43" t="s">
        <v>122</v>
      </c>
      <c r="L54">
        <f t="shared" si="7"/>
        <v>2.8</v>
      </c>
      <c r="M54">
        <f t="shared" si="8"/>
        <v>2.8</v>
      </c>
      <c r="N54">
        <f t="shared" si="9"/>
        <v>2.50615434666065</v>
      </c>
      <c r="O54">
        <f t="shared" si="10"/>
        <v>8.6345267986429372E-2</v>
      </c>
      <c r="P54">
        <f t="shared" si="11"/>
        <v>5.0123086933212999</v>
      </c>
    </row>
    <row r="55" spans="1:16" x14ac:dyDescent="0.2">
      <c r="A55">
        <v>5</v>
      </c>
      <c r="B55" t="s">
        <v>729</v>
      </c>
      <c r="C55">
        <v>19</v>
      </c>
      <c r="E55">
        <v>7</v>
      </c>
      <c r="F55">
        <v>13.3</v>
      </c>
      <c r="G55">
        <v>3.13</v>
      </c>
      <c r="H55">
        <v>20.9</v>
      </c>
      <c r="I55">
        <v>23.37</v>
      </c>
      <c r="J55" t="s">
        <v>731</v>
      </c>
      <c r="K55" s="43" t="s">
        <v>122</v>
      </c>
      <c r="L55">
        <f t="shared" si="7"/>
        <v>3.5</v>
      </c>
      <c r="M55">
        <f t="shared" si="8"/>
        <v>3.5</v>
      </c>
      <c r="N55">
        <f t="shared" si="9"/>
        <v>2.291497109799935</v>
      </c>
      <c r="O55">
        <f t="shared" si="10"/>
        <v>1.4604792356219103</v>
      </c>
      <c r="P55">
        <f t="shared" si="11"/>
        <v>4.5829942195998701</v>
      </c>
    </row>
    <row r="56" spans="1:16" x14ac:dyDescent="0.2">
      <c r="A56">
        <v>4</v>
      </c>
      <c r="B56" t="s">
        <v>729</v>
      </c>
      <c r="C56">
        <v>19</v>
      </c>
      <c r="E56">
        <v>6.8</v>
      </c>
      <c r="F56">
        <v>13.95</v>
      </c>
      <c r="G56">
        <v>2.52</v>
      </c>
      <c r="H56">
        <v>23.2</v>
      </c>
      <c r="I56">
        <v>30.81</v>
      </c>
      <c r="J56" t="s">
        <v>731</v>
      </c>
      <c r="K56" s="43" t="s">
        <v>122</v>
      </c>
      <c r="L56">
        <f t="shared" si="7"/>
        <v>3.4</v>
      </c>
      <c r="M56">
        <f t="shared" si="8"/>
        <v>3.4</v>
      </c>
      <c r="N56">
        <f t="shared" si="9"/>
        <v>2.4889817677117931</v>
      </c>
      <c r="O56">
        <f t="shared" si="10"/>
        <v>0.82995421956152904</v>
      </c>
      <c r="P56">
        <f t="shared" si="11"/>
        <v>4.9779635354235863</v>
      </c>
    </row>
    <row r="57" spans="1:16" x14ac:dyDescent="0.2">
      <c r="A57">
        <v>6</v>
      </c>
      <c r="B57" t="s">
        <v>729</v>
      </c>
      <c r="C57">
        <v>19</v>
      </c>
      <c r="E57">
        <v>7</v>
      </c>
      <c r="F57">
        <v>14.4</v>
      </c>
      <c r="G57">
        <v>3.8</v>
      </c>
      <c r="H57">
        <v>24</v>
      </c>
      <c r="I57">
        <v>38.33</v>
      </c>
      <c r="J57" t="s">
        <v>731</v>
      </c>
      <c r="K57" s="43" t="s">
        <v>122</v>
      </c>
      <c r="L57">
        <f t="shared" si="7"/>
        <v>3.5</v>
      </c>
      <c r="M57">
        <f t="shared" si="8"/>
        <v>3.5</v>
      </c>
      <c r="N57">
        <f t="shared" si="9"/>
        <v>2.5576720835072217</v>
      </c>
      <c r="O57">
        <f t="shared" si="10"/>
        <v>0.88798190220162043</v>
      </c>
      <c r="P57">
        <f t="shared" si="11"/>
        <v>5.1153441670144435</v>
      </c>
    </row>
    <row r="58" spans="1:16" x14ac:dyDescent="0.2">
      <c r="A58">
        <v>1</v>
      </c>
      <c r="B58" t="s">
        <v>729</v>
      </c>
      <c r="C58">
        <v>39</v>
      </c>
      <c r="E58">
        <v>10.6</v>
      </c>
      <c r="F58">
        <v>25.4</v>
      </c>
      <c r="G58">
        <v>10.24</v>
      </c>
      <c r="H58">
        <v>37.799999999999997</v>
      </c>
      <c r="I58">
        <v>36.590000000000003</v>
      </c>
      <c r="J58" t="s">
        <v>731</v>
      </c>
      <c r="K58" s="43" t="s">
        <v>122</v>
      </c>
      <c r="L58">
        <f t="shared" si="7"/>
        <v>5.3</v>
      </c>
      <c r="M58">
        <f t="shared" si="8"/>
        <v>5.3</v>
      </c>
      <c r="N58">
        <f t="shared" si="9"/>
        <v>3.7425800309783694</v>
      </c>
      <c r="O58">
        <f t="shared" si="10"/>
        <v>2.4255569599073361</v>
      </c>
      <c r="P58">
        <f t="shared" si="11"/>
        <v>7.4851600619567389</v>
      </c>
    </row>
    <row r="59" spans="1:16" x14ac:dyDescent="0.2">
      <c r="A59">
        <v>2</v>
      </c>
      <c r="B59" t="s">
        <v>729</v>
      </c>
      <c r="C59">
        <v>39</v>
      </c>
      <c r="E59">
        <v>9.8000000000000007</v>
      </c>
      <c r="F59">
        <v>26.34</v>
      </c>
      <c r="G59">
        <v>7.62</v>
      </c>
      <c r="H59">
        <v>38.200000000000003</v>
      </c>
      <c r="I59">
        <v>44.08</v>
      </c>
      <c r="J59" t="s">
        <v>731</v>
      </c>
      <c r="K59" s="43" t="s">
        <v>122</v>
      </c>
      <c r="L59">
        <f t="shared" si="7"/>
        <v>4.9000000000000004</v>
      </c>
      <c r="M59">
        <f t="shared" si="8"/>
        <v>4.9000000000000004</v>
      </c>
      <c r="N59">
        <f t="shared" si="9"/>
        <v>3.776925188876084</v>
      </c>
      <c r="O59">
        <f t="shared" si="10"/>
        <v>1.2612970313810206</v>
      </c>
      <c r="P59">
        <f t="shared" si="11"/>
        <v>7.5538503777521679</v>
      </c>
    </row>
    <row r="60" spans="1:16" x14ac:dyDescent="0.2">
      <c r="A60">
        <v>21</v>
      </c>
      <c r="B60" t="s">
        <v>729</v>
      </c>
      <c r="C60">
        <v>29</v>
      </c>
      <c r="E60">
        <v>6.4</v>
      </c>
      <c r="F60">
        <v>20</v>
      </c>
      <c r="G60">
        <v>9.6</v>
      </c>
      <c r="H60">
        <v>26.6</v>
      </c>
      <c r="I60">
        <v>22.78</v>
      </c>
      <c r="J60" t="s">
        <v>731</v>
      </c>
      <c r="K60" s="43" t="s">
        <v>122</v>
      </c>
      <c r="L60">
        <f t="shared" si="7"/>
        <v>3.2</v>
      </c>
      <c r="M60">
        <f t="shared" si="8"/>
        <v>3.2</v>
      </c>
      <c r="N60">
        <f t="shared" si="9"/>
        <v>2.7809156098423662</v>
      </c>
      <c r="O60">
        <f t="shared" si="10"/>
        <v>0.17563172607379599</v>
      </c>
      <c r="P60">
        <f t="shared" si="11"/>
        <v>5.5618312196847324</v>
      </c>
    </row>
    <row r="61" spans="1:16" x14ac:dyDescent="0.2">
      <c r="A61">
        <v>19</v>
      </c>
      <c r="B61" t="s">
        <v>729</v>
      </c>
      <c r="C61">
        <v>29</v>
      </c>
      <c r="E61">
        <v>6.6</v>
      </c>
      <c r="F61">
        <v>17.899999999999999</v>
      </c>
      <c r="G61">
        <v>8.65</v>
      </c>
      <c r="H61">
        <v>25.5</v>
      </c>
      <c r="I61">
        <v>23</v>
      </c>
      <c r="J61" t="s">
        <v>731</v>
      </c>
      <c r="K61" s="43" t="s">
        <v>122</v>
      </c>
      <c r="L61">
        <f t="shared" si="7"/>
        <v>3.3</v>
      </c>
      <c r="M61">
        <f t="shared" si="8"/>
        <v>3.3</v>
      </c>
      <c r="N61">
        <f t="shared" si="9"/>
        <v>2.6864664256236512</v>
      </c>
      <c r="O61">
        <f t="shared" si="10"/>
        <v>0.37642344688701845</v>
      </c>
      <c r="P61">
        <f t="shared" si="11"/>
        <v>5.3729328512473025</v>
      </c>
    </row>
    <row r="62" spans="1:16" x14ac:dyDescent="0.2">
      <c r="A62">
        <v>11</v>
      </c>
      <c r="B62" t="s">
        <v>729</v>
      </c>
      <c r="C62">
        <v>9</v>
      </c>
      <c r="E62">
        <v>2.6</v>
      </c>
      <c r="F62">
        <v>6.16</v>
      </c>
      <c r="G62">
        <v>0.28000000000000003</v>
      </c>
      <c r="H62">
        <v>8</v>
      </c>
      <c r="I62">
        <v>4.5999999999999996</v>
      </c>
      <c r="J62" t="s">
        <v>731</v>
      </c>
      <c r="K62" s="43" t="s">
        <v>122</v>
      </c>
      <c r="L62">
        <f t="shared" si="7"/>
        <v>1.3</v>
      </c>
      <c r="M62">
        <f t="shared" si="8"/>
        <v>1.3</v>
      </c>
      <c r="N62">
        <f t="shared" si="9"/>
        <v>1.1838657675986455</v>
      </c>
      <c r="O62">
        <f t="shared" si="10"/>
        <v>1.3487159935451833E-2</v>
      </c>
      <c r="P62">
        <f t="shared" si="11"/>
        <v>2.367731535197291</v>
      </c>
    </row>
    <row r="63" spans="1:16" x14ac:dyDescent="0.2">
      <c r="A63">
        <v>23</v>
      </c>
      <c r="B63" t="s">
        <v>729</v>
      </c>
      <c r="C63">
        <v>39</v>
      </c>
      <c r="E63">
        <v>6</v>
      </c>
      <c r="F63">
        <v>20.5</v>
      </c>
      <c r="G63">
        <v>8.75</v>
      </c>
      <c r="H63">
        <v>19.8</v>
      </c>
      <c r="I63">
        <v>10.51</v>
      </c>
      <c r="J63" t="s">
        <v>731</v>
      </c>
      <c r="K63" s="43" t="s">
        <v>755</v>
      </c>
      <c r="L63">
        <f t="shared" si="7"/>
        <v>3</v>
      </c>
      <c r="M63">
        <f t="shared" si="8"/>
        <v>3</v>
      </c>
      <c r="N63">
        <f t="shared" si="9"/>
        <v>2.197047925581221</v>
      </c>
      <c r="O63">
        <f t="shared" si="10"/>
        <v>0.64473203381342048</v>
      </c>
      <c r="P63">
        <f t="shared" si="11"/>
        <v>4.3940958511624419</v>
      </c>
    </row>
    <row r="64" spans="1:16" x14ac:dyDescent="0.2">
      <c r="A64">
        <v>24</v>
      </c>
      <c r="B64" t="s">
        <v>729</v>
      </c>
      <c r="C64">
        <v>39</v>
      </c>
      <c r="E64">
        <v>5.2</v>
      </c>
      <c r="F64">
        <v>19.829999999999998</v>
      </c>
      <c r="G64">
        <v>10.16</v>
      </c>
      <c r="H64">
        <v>20.5</v>
      </c>
      <c r="I64">
        <v>8.4600000000000009</v>
      </c>
      <c r="J64" t="s">
        <v>731</v>
      </c>
      <c r="K64" s="43" t="s">
        <v>755</v>
      </c>
      <c r="L64">
        <f t="shared" si="7"/>
        <v>2.6</v>
      </c>
      <c r="M64">
        <f t="shared" si="8"/>
        <v>2.6</v>
      </c>
      <c r="N64">
        <f t="shared" si="9"/>
        <v>2.257151951902221</v>
      </c>
      <c r="O64">
        <f t="shared" si="10"/>
        <v>0.11754478408445708</v>
      </c>
      <c r="P64">
        <f t="shared" si="11"/>
        <v>4.5143039038044419</v>
      </c>
    </row>
    <row r="65" spans="1:16" x14ac:dyDescent="0.2">
      <c r="A65">
        <v>8</v>
      </c>
      <c r="B65" t="s">
        <v>729</v>
      </c>
      <c r="C65">
        <v>19</v>
      </c>
      <c r="E65">
        <v>2.8</v>
      </c>
      <c r="F65">
        <v>9.2200000000000006</v>
      </c>
      <c r="G65">
        <v>4.24</v>
      </c>
      <c r="H65">
        <v>8.8000000000000007</v>
      </c>
      <c r="I65">
        <v>1.55</v>
      </c>
      <c r="J65" t="s">
        <v>731</v>
      </c>
      <c r="K65" s="43" t="s">
        <v>755</v>
      </c>
      <c r="L65">
        <f t="shared" si="7"/>
        <v>1.4</v>
      </c>
      <c r="M65">
        <f t="shared" si="8"/>
        <v>1.4</v>
      </c>
      <c r="N65">
        <f t="shared" si="9"/>
        <v>1.2525560833940745</v>
      </c>
      <c r="O65">
        <f t="shared" si="10"/>
        <v>2.1739708544095074E-2</v>
      </c>
      <c r="P65">
        <f t="shared" si="11"/>
        <v>2.5051121667881491</v>
      </c>
    </row>
    <row r="66" spans="1:16" x14ac:dyDescent="0.2">
      <c r="A66">
        <v>9</v>
      </c>
      <c r="B66" t="s">
        <v>729</v>
      </c>
      <c r="C66">
        <v>19</v>
      </c>
      <c r="E66">
        <v>3</v>
      </c>
      <c r="F66">
        <v>10.95</v>
      </c>
      <c r="G66">
        <v>4.2300000000000004</v>
      </c>
      <c r="H66">
        <v>8.9</v>
      </c>
      <c r="I66">
        <v>2.36</v>
      </c>
      <c r="J66" t="s">
        <v>731</v>
      </c>
      <c r="K66" s="43" t="s">
        <v>755</v>
      </c>
      <c r="L66">
        <f t="shared" si="7"/>
        <v>1.5</v>
      </c>
      <c r="M66">
        <f t="shared" si="8"/>
        <v>1.5</v>
      </c>
      <c r="N66">
        <f t="shared" si="9"/>
        <v>1.2611423728685032</v>
      </c>
      <c r="O66">
        <f t="shared" si="10"/>
        <v>5.7052966038889173E-2</v>
      </c>
      <c r="P66">
        <f t="shared" si="11"/>
        <v>2.5222847457370063</v>
      </c>
    </row>
    <row r="67" spans="1:16" x14ac:dyDescent="0.2">
      <c r="A67">
        <v>15</v>
      </c>
      <c r="B67" t="s">
        <v>729</v>
      </c>
      <c r="C67">
        <v>9</v>
      </c>
      <c r="E67">
        <v>3</v>
      </c>
      <c r="F67">
        <v>4.7699999999999996</v>
      </c>
      <c r="G67">
        <v>0.25</v>
      </c>
      <c r="H67">
        <v>5.9</v>
      </c>
      <c r="I67">
        <v>3.44</v>
      </c>
      <c r="J67" t="s">
        <v>731</v>
      </c>
      <c r="K67" s="43" t="s">
        <v>755</v>
      </c>
      <c r="L67">
        <f t="shared" si="7"/>
        <v>1.5</v>
      </c>
      <c r="M67">
        <f t="shared" si="8"/>
        <v>1.5</v>
      </c>
      <c r="N67">
        <f t="shared" si="9"/>
        <v>1.0035536886356451</v>
      </c>
      <c r="O67">
        <f t="shared" si="10"/>
        <v>0.24645894006727403</v>
      </c>
      <c r="P67">
        <f t="shared" si="11"/>
        <v>2.0071073772712902</v>
      </c>
    </row>
    <row r="68" spans="1:16" x14ac:dyDescent="0.2">
      <c r="A68">
        <v>13</v>
      </c>
      <c r="B68" t="s">
        <v>729</v>
      </c>
      <c r="C68">
        <v>9</v>
      </c>
      <c r="E68">
        <v>2.4</v>
      </c>
      <c r="F68">
        <v>4.3</v>
      </c>
      <c r="G68">
        <v>0.24</v>
      </c>
      <c r="H68">
        <v>4.2</v>
      </c>
      <c r="I68">
        <v>2.17</v>
      </c>
      <c r="J68" t="s">
        <v>731</v>
      </c>
      <c r="K68" s="43" t="s">
        <v>755</v>
      </c>
      <c r="L68">
        <f t="shared" si="7"/>
        <v>1.2</v>
      </c>
      <c r="M68">
        <f t="shared" si="8"/>
        <v>1.2</v>
      </c>
      <c r="N68">
        <f t="shared" si="9"/>
        <v>0.85758676757035868</v>
      </c>
      <c r="O68">
        <f t="shared" si="10"/>
        <v>0.11724682174291554</v>
      </c>
      <c r="P68">
        <f t="shared" si="11"/>
        <v>1.7151735351407174</v>
      </c>
    </row>
    <row r="69" spans="1:16" x14ac:dyDescent="0.2">
      <c r="A69">
        <v>14</v>
      </c>
      <c r="B69" t="s">
        <v>729</v>
      </c>
      <c r="C69">
        <v>9</v>
      </c>
      <c r="E69">
        <v>2</v>
      </c>
      <c r="F69">
        <v>4</v>
      </c>
      <c r="G69">
        <v>0.36</v>
      </c>
      <c r="H69">
        <v>5.0999999999999996</v>
      </c>
      <c r="I69">
        <v>2.76</v>
      </c>
      <c r="J69" t="s">
        <v>731</v>
      </c>
      <c r="K69" s="43" t="s">
        <v>755</v>
      </c>
      <c r="L69">
        <f t="shared" si="7"/>
        <v>1</v>
      </c>
      <c r="M69">
        <f t="shared" si="8"/>
        <v>1</v>
      </c>
      <c r="N69">
        <f t="shared" si="9"/>
        <v>0.93486337284021603</v>
      </c>
      <c r="O69">
        <f t="shared" si="10"/>
        <v>4.2427801977527064E-3</v>
      </c>
      <c r="P69">
        <f t="shared" si="11"/>
        <v>1.8697267456804321</v>
      </c>
    </row>
    <row r="70" spans="1:16" x14ac:dyDescent="0.2">
      <c r="A70">
        <v>17</v>
      </c>
      <c r="B70" t="s">
        <v>729</v>
      </c>
      <c r="C70">
        <v>29</v>
      </c>
      <c r="E70">
        <v>4.2</v>
      </c>
      <c r="F70">
        <v>15.9</v>
      </c>
      <c r="G70">
        <v>8.39</v>
      </c>
      <c r="H70">
        <v>16.3</v>
      </c>
      <c r="I70">
        <v>6.56</v>
      </c>
      <c r="J70" t="s">
        <v>731</v>
      </c>
      <c r="K70" s="43" t="s">
        <v>755</v>
      </c>
      <c r="L70">
        <f t="shared" si="7"/>
        <v>2.1</v>
      </c>
      <c r="M70">
        <f t="shared" si="8"/>
        <v>2.1</v>
      </c>
      <c r="N70">
        <f t="shared" si="9"/>
        <v>1.8965277939762197</v>
      </c>
      <c r="O70">
        <f t="shared" si="10"/>
        <v>4.1400938624183717E-2</v>
      </c>
      <c r="P70">
        <f t="shared" si="11"/>
        <v>3.7930555879524395</v>
      </c>
    </row>
    <row r="71" spans="1:16" x14ac:dyDescent="0.2">
      <c r="A71">
        <v>22</v>
      </c>
      <c r="B71" t="s">
        <v>729</v>
      </c>
      <c r="C71">
        <v>39</v>
      </c>
      <c r="E71">
        <v>4.8</v>
      </c>
      <c r="F71">
        <v>19</v>
      </c>
      <c r="G71">
        <v>10.27</v>
      </c>
      <c r="H71">
        <v>17.600000000000001</v>
      </c>
      <c r="I71">
        <v>5.66</v>
      </c>
      <c r="J71" t="s">
        <v>731</v>
      </c>
      <c r="K71" s="43" t="s">
        <v>755</v>
      </c>
      <c r="L71">
        <f t="shared" si="7"/>
        <v>2.4</v>
      </c>
      <c r="M71">
        <f t="shared" si="8"/>
        <v>2.4</v>
      </c>
      <c r="N71">
        <f t="shared" si="9"/>
        <v>2.0081495571437915</v>
      </c>
      <c r="O71">
        <f t="shared" si="10"/>
        <v>0.15354676956660665</v>
      </c>
      <c r="P71">
        <f t="shared" si="11"/>
        <v>4.016299114287583</v>
      </c>
    </row>
    <row r="72" spans="1:16" x14ac:dyDescent="0.2">
      <c r="A72">
        <v>18</v>
      </c>
      <c r="B72" t="s">
        <v>729</v>
      </c>
      <c r="C72">
        <v>29</v>
      </c>
      <c r="E72">
        <v>2.8</v>
      </c>
      <c r="F72">
        <v>14.2</v>
      </c>
      <c r="G72">
        <v>9.2100000000000009</v>
      </c>
      <c r="H72">
        <v>12.2</v>
      </c>
      <c r="I72">
        <v>2.1800000000000002</v>
      </c>
      <c r="J72" t="s">
        <v>731</v>
      </c>
      <c r="K72" s="43" t="s">
        <v>755</v>
      </c>
      <c r="L72">
        <f t="shared" si="7"/>
        <v>1.4</v>
      </c>
      <c r="M72">
        <f t="shared" si="8"/>
        <v>1.4</v>
      </c>
      <c r="N72">
        <f t="shared" si="9"/>
        <v>1.5444899255246469</v>
      </c>
      <c r="O72">
        <f t="shared" si="10"/>
        <v>2.0877338578118038E-2</v>
      </c>
      <c r="P72">
        <f t="shared" si="11"/>
        <v>3.0889798510492938</v>
      </c>
    </row>
    <row r="73" spans="1:16" x14ac:dyDescent="0.2">
      <c r="A73">
        <v>7</v>
      </c>
      <c r="B73" t="s">
        <v>729</v>
      </c>
      <c r="C73">
        <v>19</v>
      </c>
      <c r="E73">
        <v>4</v>
      </c>
      <c r="F73">
        <v>9.41</v>
      </c>
      <c r="G73">
        <v>4.21</v>
      </c>
      <c r="H73">
        <v>10.5</v>
      </c>
      <c r="I73">
        <v>3.68</v>
      </c>
      <c r="J73" t="s">
        <v>731</v>
      </c>
      <c r="K73" s="43" t="s">
        <v>755</v>
      </c>
      <c r="L73">
        <f t="shared" si="7"/>
        <v>2</v>
      </c>
      <c r="M73">
        <f t="shared" si="8"/>
        <v>2</v>
      </c>
      <c r="N73">
        <f t="shared" si="9"/>
        <v>1.3985230044593606</v>
      </c>
      <c r="O73">
        <f t="shared" si="10"/>
        <v>0.36177457616459435</v>
      </c>
      <c r="P73">
        <f t="shared" si="11"/>
        <v>2.7970460089187212</v>
      </c>
    </row>
    <row r="74" spans="1:16" x14ac:dyDescent="0.2">
      <c r="A74">
        <v>16</v>
      </c>
      <c r="B74" t="s">
        <v>729</v>
      </c>
      <c r="C74">
        <v>29</v>
      </c>
      <c r="E74">
        <v>3.2</v>
      </c>
      <c r="F74">
        <v>14.78</v>
      </c>
      <c r="G74">
        <v>6.85</v>
      </c>
      <c r="H74">
        <v>11.9</v>
      </c>
      <c r="I74">
        <v>3.93</v>
      </c>
      <c r="J74" t="s">
        <v>731</v>
      </c>
      <c r="K74" s="43" t="s">
        <v>755</v>
      </c>
      <c r="L74">
        <f t="shared" si="7"/>
        <v>1.6</v>
      </c>
      <c r="M74">
        <f t="shared" si="8"/>
        <v>1.6</v>
      </c>
      <c r="N74">
        <f t="shared" si="9"/>
        <v>1.5187310571013612</v>
      </c>
      <c r="O74">
        <f t="shared" si="10"/>
        <v>6.6046410798622206E-3</v>
      </c>
      <c r="P74">
        <f t="shared" si="11"/>
        <v>3.0374621142027225</v>
      </c>
    </row>
    <row r="75" spans="1:16" x14ac:dyDescent="0.2">
      <c r="B75" t="s">
        <v>729</v>
      </c>
      <c r="C75">
        <v>20</v>
      </c>
      <c r="E75">
        <v>1.25</v>
      </c>
      <c r="F75">
        <v>9.4</v>
      </c>
      <c r="H75">
        <v>6.2</v>
      </c>
      <c r="J75" t="s">
        <v>737</v>
      </c>
      <c r="K75" s="43"/>
      <c r="L75">
        <f t="shared" si="7"/>
        <v>0.625</v>
      </c>
      <c r="M75">
        <f t="shared" si="8"/>
        <v>0.625</v>
      </c>
      <c r="N75">
        <f t="shared" si="9"/>
        <v>1.0293125570589308</v>
      </c>
      <c r="O75">
        <f t="shared" si="10"/>
        <v>0.16346864379553114</v>
      </c>
      <c r="P75">
        <f t="shared" si="11"/>
        <v>2.0586251141178615</v>
      </c>
    </row>
    <row r="76" spans="1:16" x14ac:dyDescent="0.2">
      <c r="B76" t="s">
        <v>729</v>
      </c>
      <c r="C76">
        <v>20</v>
      </c>
      <c r="E76">
        <v>2.2000000000000002</v>
      </c>
      <c r="F76">
        <v>11.8</v>
      </c>
      <c r="H76">
        <v>9.1999999999999993</v>
      </c>
      <c r="J76" t="s">
        <v>737</v>
      </c>
      <c r="K76" s="43"/>
      <c r="L76">
        <f t="shared" si="7"/>
        <v>1.1000000000000001</v>
      </c>
      <c r="M76">
        <f t="shared" si="8"/>
        <v>1.1000000000000001</v>
      </c>
      <c r="N76">
        <f t="shared" si="9"/>
        <v>1.2869012412917886</v>
      </c>
      <c r="O76">
        <f t="shared" si="10"/>
        <v>3.4932073996411357E-2</v>
      </c>
      <c r="P76">
        <f t="shared" si="11"/>
        <v>2.5738024825835772</v>
      </c>
    </row>
    <row r="77" spans="1:16" x14ac:dyDescent="0.2">
      <c r="B77" t="s">
        <v>729</v>
      </c>
      <c r="C77">
        <v>20</v>
      </c>
      <c r="E77">
        <v>2.2999999999999998</v>
      </c>
      <c r="F77">
        <v>13.2</v>
      </c>
      <c r="H77">
        <v>11.3</v>
      </c>
      <c r="J77" t="s">
        <v>737</v>
      </c>
      <c r="K77" s="43"/>
      <c r="L77">
        <f t="shared" si="7"/>
        <v>1.1499999999999999</v>
      </c>
      <c r="M77">
        <f t="shared" si="8"/>
        <v>1.1499999999999999</v>
      </c>
      <c r="N77">
        <f t="shared" si="9"/>
        <v>1.4672133202547895</v>
      </c>
      <c r="O77">
        <f t="shared" si="10"/>
        <v>0.10062429054706767</v>
      </c>
      <c r="P77">
        <f t="shared" si="11"/>
        <v>2.9344266405095789</v>
      </c>
    </row>
    <row r="78" spans="1:16" x14ac:dyDescent="0.2">
      <c r="B78" t="s">
        <v>729</v>
      </c>
      <c r="C78">
        <v>20</v>
      </c>
      <c r="E78">
        <v>2.7</v>
      </c>
      <c r="F78">
        <v>14.8</v>
      </c>
      <c r="H78">
        <v>13.3</v>
      </c>
      <c r="J78" t="s">
        <v>737</v>
      </c>
      <c r="K78" s="43"/>
      <c r="L78">
        <f t="shared" si="7"/>
        <v>1.35</v>
      </c>
      <c r="M78">
        <f t="shared" si="8"/>
        <v>1.35</v>
      </c>
      <c r="N78">
        <f t="shared" si="9"/>
        <v>1.6389391097433617</v>
      </c>
      <c r="O78">
        <f t="shared" si="10"/>
        <v>8.3485809139286341E-2</v>
      </c>
      <c r="P78">
        <f t="shared" si="11"/>
        <v>3.2778782194867233</v>
      </c>
    </row>
    <row r="79" spans="1:16" x14ac:dyDescent="0.2">
      <c r="B79" t="s">
        <v>729</v>
      </c>
      <c r="C79">
        <v>24</v>
      </c>
      <c r="E79">
        <v>2.0499999999999998</v>
      </c>
      <c r="F79">
        <v>11.8</v>
      </c>
      <c r="H79">
        <v>8.6</v>
      </c>
      <c r="J79" t="s">
        <v>737</v>
      </c>
      <c r="K79" s="43"/>
      <c r="L79">
        <f t="shared" si="7"/>
        <v>1.0249999999999999</v>
      </c>
      <c r="M79">
        <f t="shared" si="8"/>
        <v>1.0249999999999999</v>
      </c>
      <c r="N79">
        <f t="shared" si="9"/>
        <v>1.2353835044452173</v>
      </c>
      <c r="O79">
        <f t="shared" si="10"/>
        <v>4.4261218942650796E-2</v>
      </c>
      <c r="P79">
        <f t="shared" si="11"/>
        <v>2.4707670088904345</v>
      </c>
    </row>
    <row r="80" spans="1:16" x14ac:dyDescent="0.2">
      <c r="B80" t="s">
        <v>729</v>
      </c>
      <c r="C80">
        <v>24</v>
      </c>
      <c r="E80">
        <v>2.25</v>
      </c>
      <c r="F80">
        <v>14.4</v>
      </c>
      <c r="H80">
        <v>10.7</v>
      </c>
      <c r="J80" t="s">
        <v>737</v>
      </c>
      <c r="K80" s="43"/>
      <c r="L80">
        <f t="shared" si="7"/>
        <v>1.125</v>
      </c>
      <c r="M80">
        <f t="shared" si="8"/>
        <v>1.125</v>
      </c>
      <c r="N80">
        <f t="shared" si="9"/>
        <v>1.4156955834082177</v>
      </c>
      <c r="O80">
        <f t="shared" si="10"/>
        <v>8.4503922213044036E-2</v>
      </c>
      <c r="P80">
        <f t="shared" si="11"/>
        <v>2.8313911668164353</v>
      </c>
    </row>
    <row r="81" spans="2:16" x14ac:dyDescent="0.2">
      <c r="B81" t="s">
        <v>729</v>
      </c>
      <c r="C81">
        <v>24</v>
      </c>
      <c r="E81">
        <v>3.1</v>
      </c>
      <c r="F81">
        <v>15.4</v>
      </c>
      <c r="H81">
        <v>13.8</v>
      </c>
      <c r="J81" t="s">
        <v>737</v>
      </c>
      <c r="K81" s="43"/>
      <c r="L81">
        <f t="shared" si="7"/>
        <v>1.55</v>
      </c>
      <c r="M81">
        <f t="shared" si="8"/>
        <v>1.55</v>
      </c>
      <c r="N81">
        <f t="shared" si="9"/>
        <v>1.6818705571155046</v>
      </c>
      <c r="O81">
        <f t="shared" si="10"/>
        <v>1.7389843833953547E-2</v>
      </c>
      <c r="P81">
        <f t="shared" si="11"/>
        <v>3.3637411142310092</v>
      </c>
    </row>
    <row r="82" spans="2:16" x14ac:dyDescent="0.2">
      <c r="B82" t="s">
        <v>729</v>
      </c>
      <c r="C82">
        <v>24</v>
      </c>
      <c r="E82">
        <v>3.3</v>
      </c>
      <c r="F82">
        <v>19</v>
      </c>
      <c r="H82">
        <v>18.100000000000001</v>
      </c>
      <c r="J82" t="s">
        <v>737</v>
      </c>
      <c r="K82" s="43"/>
      <c r="L82">
        <f t="shared" si="7"/>
        <v>1.65</v>
      </c>
      <c r="M82">
        <f t="shared" si="8"/>
        <v>1.65</v>
      </c>
      <c r="N82">
        <f t="shared" si="9"/>
        <v>2.0510810045159347</v>
      </c>
      <c r="O82">
        <f t="shared" si="10"/>
        <v>0.16086597218351129</v>
      </c>
      <c r="P82">
        <f t="shared" si="11"/>
        <v>4.1021620090318693</v>
      </c>
    </row>
    <row r="83" spans="2:16" x14ac:dyDescent="0.2">
      <c r="B83" t="s">
        <v>729</v>
      </c>
      <c r="C83">
        <v>36</v>
      </c>
      <c r="E83">
        <v>3</v>
      </c>
      <c r="F83">
        <v>22.2</v>
      </c>
      <c r="H83">
        <v>20.399999999999999</v>
      </c>
      <c r="J83" t="s">
        <v>737</v>
      </c>
      <c r="K83" s="43"/>
      <c r="L83">
        <f t="shared" si="7"/>
        <v>1.5</v>
      </c>
      <c r="M83">
        <f t="shared" si="8"/>
        <v>1.5</v>
      </c>
      <c r="N83">
        <f t="shared" si="9"/>
        <v>2.2485656624277923</v>
      </c>
      <c r="O83">
        <f t="shared" si="10"/>
        <v>0.56035055096595954</v>
      </c>
      <c r="P83">
        <f t="shared" si="11"/>
        <v>4.4971313248555846</v>
      </c>
    </row>
    <row r="84" spans="2:16" x14ac:dyDescent="0.2">
      <c r="B84" t="s">
        <v>729</v>
      </c>
      <c r="C84">
        <v>36</v>
      </c>
      <c r="E84">
        <v>2.8</v>
      </c>
      <c r="F84">
        <v>24.4</v>
      </c>
      <c r="H84">
        <v>23</v>
      </c>
      <c r="J84" t="s">
        <v>737</v>
      </c>
      <c r="K84" s="43"/>
      <c r="L84">
        <f t="shared" si="7"/>
        <v>1.4</v>
      </c>
      <c r="M84">
        <f t="shared" si="8"/>
        <v>1.4</v>
      </c>
      <c r="N84">
        <f t="shared" si="9"/>
        <v>2.4718091887629363</v>
      </c>
      <c r="O84">
        <f t="shared" si="10"/>
        <v>1.1487749371166638</v>
      </c>
      <c r="P84">
        <f t="shared" si="11"/>
        <v>4.9436183775258726</v>
      </c>
    </row>
    <row r="85" spans="2:16" x14ac:dyDescent="0.2">
      <c r="B85" t="s">
        <v>729</v>
      </c>
      <c r="C85">
        <v>41</v>
      </c>
      <c r="E85">
        <v>3.6</v>
      </c>
      <c r="F85">
        <v>25.8</v>
      </c>
      <c r="H85">
        <v>25.2</v>
      </c>
      <c r="J85" t="s">
        <v>737</v>
      </c>
      <c r="K85" s="43"/>
      <c r="L85">
        <f t="shared" si="7"/>
        <v>1.8</v>
      </c>
      <c r="M85">
        <f t="shared" si="8"/>
        <v>1.8</v>
      </c>
      <c r="N85">
        <f t="shared" si="9"/>
        <v>2.6607075572003653</v>
      </c>
      <c r="O85">
        <f t="shared" si="10"/>
        <v>0.74081749902182004</v>
      </c>
      <c r="P85">
        <f t="shared" si="11"/>
        <v>5.3214151144007307</v>
      </c>
    </row>
    <row r="86" spans="2:16" x14ac:dyDescent="0.2">
      <c r="B86" t="s">
        <v>729</v>
      </c>
      <c r="C86">
        <v>41</v>
      </c>
      <c r="E86">
        <v>4.6500000000000004</v>
      </c>
      <c r="F86">
        <v>28.2</v>
      </c>
      <c r="H86">
        <v>28.1</v>
      </c>
      <c r="J86" t="s">
        <v>737</v>
      </c>
      <c r="K86" s="43"/>
      <c r="L86">
        <f t="shared" si="7"/>
        <v>2.3250000000000002</v>
      </c>
      <c r="M86">
        <f t="shared" si="8"/>
        <v>2.3250000000000002</v>
      </c>
      <c r="N86">
        <f t="shared" si="9"/>
        <v>2.9097099519587948</v>
      </c>
      <c r="O86">
        <f t="shared" si="10"/>
        <v>0.34188572791965588</v>
      </c>
      <c r="P86">
        <f t="shared" si="11"/>
        <v>5.8194199039175896</v>
      </c>
    </row>
    <row r="87" spans="2:16" x14ac:dyDescent="0.2">
      <c r="B87" t="s">
        <v>729</v>
      </c>
      <c r="C87">
        <v>41</v>
      </c>
      <c r="E87">
        <v>8.1</v>
      </c>
      <c r="F87">
        <v>30</v>
      </c>
      <c r="H87">
        <v>46.3</v>
      </c>
      <c r="J87" t="s">
        <v>737</v>
      </c>
      <c r="K87" s="43"/>
      <c r="L87">
        <f t="shared" si="7"/>
        <v>4.05</v>
      </c>
      <c r="M87">
        <f t="shared" si="8"/>
        <v>4.05</v>
      </c>
      <c r="N87">
        <f t="shared" si="9"/>
        <v>4.4724146363048005</v>
      </c>
      <c r="O87">
        <f t="shared" si="10"/>
        <v>0.17843412496451705</v>
      </c>
      <c r="P87">
        <f t="shared" si="11"/>
        <v>8.944829272609601</v>
      </c>
    </row>
    <row r="88" spans="2:16" x14ac:dyDescent="0.2">
      <c r="B88" t="s">
        <v>729</v>
      </c>
      <c r="C88">
        <v>42</v>
      </c>
      <c r="E88">
        <v>3.1</v>
      </c>
      <c r="F88">
        <v>22.6</v>
      </c>
      <c r="H88">
        <v>18.3</v>
      </c>
      <c r="J88" t="s">
        <v>737</v>
      </c>
      <c r="K88" s="43"/>
      <c r="L88">
        <f t="shared" si="7"/>
        <v>1.55</v>
      </c>
      <c r="M88">
        <f t="shared" si="8"/>
        <v>1.55</v>
      </c>
      <c r="N88">
        <f t="shared" si="9"/>
        <v>2.0682535834647915</v>
      </c>
      <c r="O88">
        <f t="shared" si="10"/>
        <v>0.26858677677409754</v>
      </c>
      <c r="P88">
        <f t="shared" si="11"/>
        <v>4.136507166929583</v>
      </c>
    </row>
    <row r="89" spans="2:16" x14ac:dyDescent="0.2">
      <c r="B89" t="s">
        <v>729</v>
      </c>
      <c r="C89">
        <v>42</v>
      </c>
      <c r="E89">
        <v>3.55</v>
      </c>
      <c r="F89">
        <v>24</v>
      </c>
      <c r="H89">
        <v>23.2</v>
      </c>
      <c r="J89" t="s">
        <v>737</v>
      </c>
      <c r="K89" s="43"/>
      <c r="L89">
        <f t="shared" si="7"/>
        <v>1.7749999999999999</v>
      </c>
      <c r="M89">
        <f t="shared" si="8"/>
        <v>1.7749999999999999</v>
      </c>
      <c r="N89">
        <f t="shared" si="9"/>
        <v>2.4889817677117931</v>
      </c>
      <c r="O89">
        <f t="shared" si="10"/>
        <v>0.50976996462485702</v>
      </c>
      <c r="P89">
        <f t="shared" si="11"/>
        <v>4.9779635354235863</v>
      </c>
    </row>
    <row r="90" spans="2:16" x14ac:dyDescent="0.2">
      <c r="B90" t="s">
        <v>729</v>
      </c>
      <c r="C90">
        <v>42</v>
      </c>
      <c r="E90">
        <v>4.5999999999999996</v>
      </c>
      <c r="F90">
        <v>27</v>
      </c>
      <c r="H90">
        <v>28.4</v>
      </c>
      <c r="J90" t="s">
        <v>737</v>
      </c>
      <c r="K90" s="43"/>
      <c r="L90">
        <f t="shared" si="7"/>
        <v>2.2999999999999998</v>
      </c>
      <c r="M90">
        <f t="shared" si="8"/>
        <v>2.2999999999999998</v>
      </c>
      <c r="N90">
        <f t="shared" si="9"/>
        <v>2.9354688203820807</v>
      </c>
      <c r="O90">
        <f t="shared" si="10"/>
        <v>0.40382062167779337</v>
      </c>
      <c r="P90">
        <f t="shared" si="11"/>
        <v>5.8709376407641614</v>
      </c>
    </row>
    <row r="91" spans="2:16" x14ac:dyDescent="0.2">
      <c r="B91" t="s">
        <v>729</v>
      </c>
      <c r="C91">
        <v>42</v>
      </c>
      <c r="E91">
        <v>4.3499999999999996</v>
      </c>
      <c r="F91">
        <v>28.4</v>
      </c>
      <c r="H91">
        <v>33.5</v>
      </c>
      <c r="J91" t="s">
        <v>737</v>
      </c>
      <c r="K91" s="43"/>
      <c r="L91">
        <f t="shared" si="7"/>
        <v>2.1749999999999998</v>
      </c>
      <c r="M91">
        <f t="shared" si="8"/>
        <v>2.1749999999999998</v>
      </c>
      <c r="N91">
        <f t="shared" si="9"/>
        <v>3.3733695835779391</v>
      </c>
      <c r="O91">
        <f t="shared" si="10"/>
        <v>1.4360896588447638</v>
      </c>
      <c r="P91">
        <f t="shared" si="11"/>
        <v>6.7467391671558783</v>
      </c>
    </row>
    <row r="92" spans="2:16" x14ac:dyDescent="0.2">
      <c r="B92" t="s">
        <v>729</v>
      </c>
      <c r="C92">
        <v>45</v>
      </c>
      <c r="E92">
        <v>2.65</v>
      </c>
      <c r="F92">
        <v>21.6</v>
      </c>
      <c r="H92">
        <v>20.5</v>
      </c>
      <c r="J92" t="s">
        <v>737</v>
      </c>
      <c r="K92" s="43"/>
      <c r="L92">
        <f t="shared" si="7"/>
        <v>1.325</v>
      </c>
      <c r="M92">
        <f t="shared" si="8"/>
        <v>1.325</v>
      </c>
      <c r="N92">
        <f t="shared" si="9"/>
        <v>2.257151951902221</v>
      </c>
      <c r="O92">
        <f t="shared" si="10"/>
        <v>0.86890726143512054</v>
      </c>
      <c r="P92">
        <f t="shared" si="11"/>
        <v>4.5143039038044419</v>
      </c>
    </row>
    <row r="93" spans="2:16" x14ac:dyDescent="0.2">
      <c r="B93" t="s">
        <v>729</v>
      </c>
      <c r="C93">
        <v>45</v>
      </c>
      <c r="E93">
        <v>2.75</v>
      </c>
      <c r="F93">
        <v>23</v>
      </c>
      <c r="H93">
        <v>24.3</v>
      </c>
      <c r="J93" t="s">
        <v>737</v>
      </c>
      <c r="K93" s="43"/>
      <c r="L93">
        <f t="shared" si="7"/>
        <v>1.375</v>
      </c>
      <c r="M93">
        <f t="shared" si="8"/>
        <v>1.375</v>
      </c>
      <c r="N93">
        <f t="shared" si="9"/>
        <v>2.5834309519305076</v>
      </c>
      <c r="O93">
        <f t="shared" si="10"/>
        <v>1.4603053655836729</v>
      </c>
      <c r="P93">
        <f t="shared" si="11"/>
        <v>5.1668619038610153</v>
      </c>
    </row>
    <row r="94" spans="2:16" x14ac:dyDescent="0.2">
      <c r="O94">
        <f>SUM(O52:O93)</f>
        <v>18.021999504621782</v>
      </c>
    </row>
  </sheetData>
  <phoneticPr fontId="2" type="noConversion"/>
  <pageMargins left="0.78740157499999996" right="0.78740157499999996" top="0.984251969" bottom="0.984251969" header="0.4921259845" footer="0.4921259845"/>
  <pageSetup paperSize="9" orientation="portrait"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6"/>
  <sheetViews>
    <sheetView workbookViewId="0">
      <pane xSplit="1" ySplit="1" topLeftCell="B2" activePane="bottomRight" state="frozen"/>
      <selection pane="topRight" activeCell="B1" sqref="B1"/>
      <selection pane="bottomLeft" activeCell="A2" sqref="A2"/>
      <selection pane="bottomRight" activeCell="H10" sqref="H10"/>
    </sheetView>
  </sheetViews>
  <sheetFormatPr baseColWidth="10" defaultRowHeight="12.75" x14ac:dyDescent="0.2"/>
  <cols>
    <col min="1" max="1" width="6" bestFit="1" customWidth="1"/>
    <col min="2" max="2" width="6" customWidth="1"/>
    <col min="3" max="3" width="5.7109375" bestFit="1" customWidth="1"/>
    <col min="4" max="5" width="11.42578125" customWidth="1"/>
    <col min="6" max="6" width="12.42578125" bestFit="1" customWidth="1"/>
  </cols>
  <sheetData>
    <row r="1" spans="1:10" x14ac:dyDescent="0.2">
      <c r="A1" t="s">
        <v>672</v>
      </c>
      <c r="C1" t="s">
        <v>382</v>
      </c>
      <c r="D1" t="s">
        <v>673</v>
      </c>
      <c r="E1" t="s">
        <v>673</v>
      </c>
      <c r="F1" t="s">
        <v>674</v>
      </c>
      <c r="G1" t="s">
        <v>713</v>
      </c>
      <c r="I1" s="85" t="s">
        <v>675</v>
      </c>
      <c r="J1" s="45">
        <v>0.18517397429649099</v>
      </c>
    </row>
    <row r="2" spans="1:10" x14ac:dyDescent="0.2">
      <c r="A2">
        <v>249</v>
      </c>
      <c r="B2">
        <f t="shared" ref="B2:B65" si="0">A2/10</f>
        <v>24.9</v>
      </c>
      <c r="C2">
        <v>15.2</v>
      </c>
      <c r="D2">
        <f t="shared" ref="D2:D65" si="1">EXP(-ABS((-1.8796+0.34056*(C2/B2)-0.0061*B2+0.8262*LN($C$206))))</f>
        <v>0.8033461331366788</v>
      </c>
      <c r="E2">
        <f t="shared" ref="E2:E65" si="2">C2*(1-D2)</f>
        <v>2.9891387763224819</v>
      </c>
      <c r="F2">
        <f t="shared" ref="F2:F65" si="3">C2*(1-EXP(-($J$1+$J$2*(C2/B2))*($J$1+$J$2*(C2/B2))))</f>
        <v>3.2440953442333966</v>
      </c>
      <c r="G2">
        <f t="shared" ref="G2:G65" si="4">(E2-F2)^2</f>
        <v>6.5002851520912855E-2</v>
      </c>
      <c r="I2" s="85" t="s">
        <v>676</v>
      </c>
      <c r="J2" s="45">
        <v>0.49930327549030629</v>
      </c>
    </row>
    <row r="3" spans="1:10" x14ac:dyDescent="0.2">
      <c r="A3">
        <v>214.5</v>
      </c>
      <c r="B3">
        <f t="shared" si="0"/>
        <v>21.45</v>
      </c>
      <c r="C3">
        <v>14.3</v>
      </c>
      <c r="D3">
        <f t="shared" si="1"/>
        <v>0.77169756589537497</v>
      </c>
      <c r="E3">
        <f t="shared" si="2"/>
        <v>3.2647248076961382</v>
      </c>
      <c r="F3">
        <f t="shared" si="3"/>
        <v>3.3658472657217806</v>
      </c>
      <c r="G3">
        <f t="shared" si="4"/>
        <v>1.0225751517147821E-2</v>
      </c>
    </row>
    <row r="4" spans="1:10" x14ac:dyDescent="0.2">
      <c r="A4">
        <v>214</v>
      </c>
      <c r="B4">
        <f t="shared" si="0"/>
        <v>21.4</v>
      </c>
      <c r="C4">
        <v>14.2</v>
      </c>
      <c r="D4">
        <f t="shared" si="1"/>
        <v>0.77228113931417819</v>
      </c>
      <c r="E4">
        <f t="shared" si="2"/>
        <v>3.2336078217386697</v>
      </c>
      <c r="F4">
        <f t="shared" si="3"/>
        <v>3.3248239127763539</v>
      </c>
      <c r="G4">
        <f t="shared" si="4"/>
        <v>8.3203752641950995E-3</v>
      </c>
    </row>
    <row r="5" spans="1:10" x14ac:dyDescent="0.2">
      <c r="A5">
        <v>213</v>
      </c>
      <c r="B5">
        <f t="shared" si="0"/>
        <v>21.3</v>
      </c>
      <c r="C5">
        <v>14.2</v>
      </c>
      <c r="D5">
        <f t="shared" si="1"/>
        <v>0.77099178556632286</v>
      </c>
      <c r="E5">
        <f t="shared" si="2"/>
        <v>3.2519166449582153</v>
      </c>
      <c r="F5">
        <f t="shared" si="3"/>
        <v>3.3423098722551927</v>
      </c>
      <c r="G5">
        <f t="shared" si="4"/>
        <v>8.1709355411630213E-3</v>
      </c>
    </row>
    <row r="6" spans="1:10" x14ac:dyDescent="0.2">
      <c r="A6">
        <v>205</v>
      </c>
      <c r="B6">
        <f t="shared" si="0"/>
        <v>20.5</v>
      </c>
      <c r="C6">
        <v>14</v>
      </c>
      <c r="D6">
        <f t="shared" si="1"/>
        <v>0.76300162289320439</v>
      </c>
      <c r="E6">
        <f t="shared" si="2"/>
        <v>3.3179772794951385</v>
      </c>
      <c r="F6">
        <f t="shared" si="3"/>
        <v>3.3856026041419343</v>
      </c>
      <c r="G6">
        <f t="shared" si="4"/>
        <v>4.5731845335845161E-3</v>
      </c>
    </row>
    <row r="7" spans="1:10" x14ac:dyDescent="0.2">
      <c r="A7">
        <v>203.5</v>
      </c>
      <c r="B7">
        <f t="shared" si="0"/>
        <v>20.350000000000001</v>
      </c>
      <c r="C7">
        <v>13.9</v>
      </c>
      <c r="D7">
        <f t="shared" si="1"/>
        <v>0.76227268108683044</v>
      </c>
      <c r="E7">
        <f t="shared" si="2"/>
        <v>3.3044097328930571</v>
      </c>
      <c r="F7">
        <f t="shared" si="3"/>
        <v>3.3620834078934192</v>
      </c>
      <c r="G7">
        <f t="shared" si="4"/>
        <v>3.3262527880473965E-3</v>
      </c>
    </row>
    <row r="8" spans="1:10" x14ac:dyDescent="0.2">
      <c r="A8">
        <v>202</v>
      </c>
      <c r="B8">
        <f t="shared" si="0"/>
        <v>20.2</v>
      </c>
      <c r="C8">
        <v>13.9</v>
      </c>
      <c r="D8">
        <f t="shared" si="1"/>
        <v>0.76026113783216476</v>
      </c>
      <c r="E8">
        <f t="shared" si="2"/>
        <v>3.3323701841329099</v>
      </c>
      <c r="F8">
        <f t="shared" si="3"/>
        <v>3.3902005861161486</v>
      </c>
      <c r="G8">
        <f t="shared" si="4"/>
        <v>3.3443553935429836E-3</v>
      </c>
    </row>
    <row r="9" spans="1:10" x14ac:dyDescent="0.2">
      <c r="A9">
        <v>200</v>
      </c>
      <c r="B9">
        <f t="shared" si="0"/>
        <v>20</v>
      </c>
      <c r="C9">
        <v>13.8</v>
      </c>
      <c r="D9">
        <f t="shared" si="1"/>
        <v>0.7588478675142436</v>
      </c>
      <c r="E9">
        <f t="shared" si="2"/>
        <v>3.3278994283034384</v>
      </c>
      <c r="F9">
        <f t="shared" si="3"/>
        <v>3.3761789807576732</v>
      </c>
      <c r="G9">
        <f t="shared" si="4"/>
        <v>2.3309151851812061E-3</v>
      </c>
    </row>
    <row r="10" spans="1:10" x14ac:dyDescent="0.2">
      <c r="A10">
        <v>197.5</v>
      </c>
      <c r="B10">
        <f t="shared" si="0"/>
        <v>19.75</v>
      </c>
      <c r="C10">
        <v>13.7</v>
      </c>
      <c r="D10">
        <f t="shared" si="1"/>
        <v>0.75674486500231308</v>
      </c>
      <c r="E10">
        <f t="shared" si="2"/>
        <v>3.3325953494683107</v>
      </c>
      <c r="F10">
        <f t="shared" si="3"/>
        <v>3.3718227366192286</v>
      </c>
      <c r="G10">
        <f t="shared" si="4"/>
        <v>1.5387879026879981E-3</v>
      </c>
    </row>
    <row r="11" spans="1:10" x14ac:dyDescent="0.2">
      <c r="A11">
        <v>197.5</v>
      </c>
      <c r="B11">
        <f t="shared" si="0"/>
        <v>19.75</v>
      </c>
      <c r="C11">
        <v>13.7</v>
      </c>
      <c r="D11">
        <f t="shared" si="1"/>
        <v>0.75674486500231308</v>
      </c>
      <c r="E11">
        <f t="shared" si="2"/>
        <v>3.3325953494683107</v>
      </c>
      <c r="F11">
        <f t="shared" si="3"/>
        <v>3.3718227366192286</v>
      </c>
      <c r="G11">
        <f t="shared" si="4"/>
        <v>1.5387879026879981E-3</v>
      </c>
    </row>
    <row r="12" spans="1:10" x14ac:dyDescent="0.2">
      <c r="A12">
        <v>195</v>
      </c>
      <c r="B12">
        <f t="shared" si="0"/>
        <v>19.5</v>
      </c>
      <c r="C12">
        <v>13.6</v>
      </c>
      <c r="D12">
        <f t="shared" si="1"/>
        <v>0.75462350048632465</v>
      </c>
      <c r="E12">
        <f t="shared" si="2"/>
        <v>3.3371203933859848</v>
      </c>
      <c r="F12">
        <f t="shared" si="3"/>
        <v>3.3677159031129849</v>
      </c>
      <c r="G12">
        <f t="shared" si="4"/>
        <v>9.3608521545495728E-4</v>
      </c>
    </row>
    <row r="13" spans="1:10" x14ac:dyDescent="0.2">
      <c r="A13">
        <v>194.5</v>
      </c>
      <c r="B13">
        <f t="shared" si="0"/>
        <v>19.45</v>
      </c>
      <c r="C13">
        <v>13.6</v>
      </c>
      <c r="D13">
        <f t="shared" si="1"/>
        <v>0.75393289239705452</v>
      </c>
      <c r="E13">
        <f t="shared" si="2"/>
        <v>3.3465126634000586</v>
      </c>
      <c r="F13">
        <f t="shared" si="3"/>
        <v>3.3774913436458651</v>
      </c>
      <c r="G13">
        <f t="shared" si="4"/>
        <v>9.5967862977192325E-4</v>
      </c>
    </row>
    <row r="14" spans="1:10" x14ac:dyDescent="0.2">
      <c r="A14">
        <v>192.5</v>
      </c>
      <c r="B14">
        <f t="shared" si="0"/>
        <v>19.25</v>
      </c>
      <c r="C14">
        <v>13.5</v>
      </c>
      <c r="D14">
        <f t="shared" si="1"/>
        <v>0.75248302146652368</v>
      </c>
      <c r="E14">
        <f t="shared" si="2"/>
        <v>3.3414792102019302</v>
      </c>
      <c r="F14">
        <f t="shared" si="3"/>
        <v>3.3638683574993777</v>
      </c>
      <c r="G14">
        <f t="shared" si="4"/>
        <v>5.0127391670680356E-4</v>
      </c>
    </row>
    <row r="15" spans="1:10" x14ac:dyDescent="0.2">
      <c r="A15">
        <v>183</v>
      </c>
      <c r="B15">
        <f t="shared" si="0"/>
        <v>18.3</v>
      </c>
      <c r="C15">
        <v>13.2</v>
      </c>
      <c r="D15">
        <f t="shared" si="1"/>
        <v>0.74305337789621151</v>
      </c>
      <c r="E15">
        <f t="shared" si="2"/>
        <v>3.3916954117700078</v>
      </c>
      <c r="F15">
        <f t="shared" si="3"/>
        <v>3.3955621810153374</v>
      </c>
      <c r="G15">
        <f t="shared" si="4"/>
        <v>1.4951904396626705E-5</v>
      </c>
    </row>
    <row r="16" spans="1:10" x14ac:dyDescent="0.2">
      <c r="A16">
        <v>179.5</v>
      </c>
      <c r="B16">
        <f t="shared" si="0"/>
        <v>17.95</v>
      </c>
      <c r="C16">
        <v>13.1</v>
      </c>
      <c r="D16">
        <f t="shared" si="1"/>
        <v>0.73932700796611883</v>
      </c>
      <c r="E16">
        <f t="shared" si="2"/>
        <v>3.4148161956438434</v>
      </c>
      <c r="F16">
        <f t="shared" si="3"/>
        <v>3.414913438090438</v>
      </c>
      <c r="G16">
        <f t="shared" si="4"/>
        <v>9.4560934197020827E-9</v>
      </c>
    </row>
    <row r="17" spans="1:7" x14ac:dyDescent="0.2">
      <c r="A17">
        <v>176</v>
      </c>
      <c r="B17">
        <f t="shared" si="0"/>
        <v>17.600000000000001</v>
      </c>
      <c r="C17">
        <v>13</v>
      </c>
      <c r="D17">
        <f t="shared" si="1"/>
        <v>0.73553470112466246</v>
      </c>
      <c r="E17">
        <f t="shared" si="2"/>
        <v>3.4380488853793878</v>
      </c>
      <c r="F17">
        <f t="shared" si="3"/>
        <v>3.4355007073559403</v>
      </c>
      <c r="G17">
        <f t="shared" si="4"/>
        <v>6.4932112391809802E-6</v>
      </c>
    </row>
    <row r="18" spans="1:7" x14ac:dyDescent="0.2">
      <c r="A18">
        <v>177</v>
      </c>
      <c r="B18">
        <f t="shared" si="0"/>
        <v>17.7</v>
      </c>
      <c r="C18">
        <v>13</v>
      </c>
      <c r="D18">
        <f t="shared" si="1"/>
        <v>0.7370302275685755</v>
      </c>
      <c r="E18">
        <f t="shared" si="2"/>
        <v>3.4186070416085186</v>
      </c>
      <c r="F18">
        <f t="shared" si="3"/>
        <v>3.413436457713765</v>
      </c>
      <c r="G18">
        <f t="shared" si="4"/>
        <v>2.6734937812684845E-5</v>
      </c>
    </row>
    <row r="19" spans="1:7" x14ac:dyDescent="0.2">
      <c r="A19">
        <v>177.5</v>
      </c>
      <c r="B19">
        <f t="shared" si="0"/>
        <v>17.75</v>
      </c>
      <c r="C19">
        <v>13</v>
      </c>
      <c r="D19">
        <f t="shared" si="1"/>
        <v>0.73777470033691472</v>
      </c>
      <c r="E19">
        <f t="shared" si="2"/>
        <v>3.4089288956201087</v>
      </c>
      <c r="F19">
        <f t="shared" si="3"/>
        <v>3.4025095961945695</v>
      </c>
      <c r="G19">
        <f t="shared" si="4"/>
        <v>4.1207405114727958E-5</v>
      </c>
    </row>
    <row r="20" spans="1:7" x14ac:dyDescent="0.2">
      <c r="A20">
        <v>175</v>
      </c>
      <c r="B20">
        <f t="shared" si="0"/>
        <v>17.5</v>
      </c>
      <c r="C20">
        <v>12.9</v>
      </c>
      <c r="D20">
        <f t="shared" si="1"/>
        <v>0.73546014270035642</v>
      </c>
      <c r="E20">
        <f t="shared" si="2"/>
        <v>3.4125641591654023</v>
      </c>
      <c r="F20">
        <f t="shared" si="3"/>
        <v>3.4012342642359541</v>
      </c>
      <c r="G20">
        <f t="shared" si="4"/>
        <v>1.2836651911233711E-4</v>
      </c>
    </row>
    <row r="21" spans="1:7" x14ac:dyDescent="0.2">
      <c r="A21">
        <v>171</v>
      </c>
      <c r="B21">
        <f t="shared" si="0"/>
        <v>17.100000000000001</v>
      </c>
      <c r="C21">
        <v>12.8</v>
      </c>
      <c r="D21">
        <f t="shared" si="1"/>
        <v>0.73082615542044804</v>
      </c>
      <c r="E21">
        <f t="shared" si="2"/>
        <v>3.4454252106182652</v>
      </c>
      <c r="F21">
        <f t="shared" si="3"/>
        <v>3.4343196851904612</v>
      </c>
      <c r="G21">
        <f t="shared" si="4"/>
        <v>1.2333269502760288E-4</v>
      </c>
    </row>
    <row r="22" spans="1:7" x14ac:dyDescent="0.2">
      <c r="A22">
        <v>168.5</v>
      </c>
      <c r="B22">
        <f t="shared" si="0"/>
        <v>16.850000000000001</v>
      </c>
      <c r="C22">
        <v>12.7</v>
      </c>
      <c r="D22">
        <f t="shared" si="1"/>
        <v>0.72842852954390835</v>
      </c>
      <c r="E22">
        <f t="shared" si="2"/>
        <v>3.4489576747923638</v>
      </c>
      <c r="F22">
        <f t="shared" si="3"/>
        <v>3.4343327679097952</v>
      </c>
      <c r="G22">
        <f t="shared" si="4"/>
        <v>2.1388790132380144E-4</v>
      </c>
    </row>
    <row r="23" spans="1:7" x14ac:dyDescent="0.2">
      <c r="A23">
        <v>168.5</v>
      </c>
      <c r="B23">
        <f t="shared" si="0"/>
        <v>16.850000000000001</v>
      </c>
      <c r="C23">
        <v>12.7</v>
      </c>
      <c r="D23">
        <f t="shared" si="1"/>
        <v>0.72842852954390835</v>
      </c>
      <c r="E23">
        <f t="shared" si="2"/>
        <v>3.4489576747923638</v>
      </c>
      <c r="F23">
        <f t="shared" si="3"/>
        <v>3.4343327679097952</v>
      </c>
      <c r="G23">
        <f t="shared" si="4"/>
        <v>2.1388790132380144E-4</v>
      </c>
    </row>
    <row r="24" spans="1:7" x14ac:dyDescent="0.2">
      <c r="A24">
        <v>168.5</v>
      </c>
      <c r="B24">
        <f t="shared" si="0"/>
        <v>16.850000000000001</v>
      </c>
      <c r="C24">
        <v>12.7</v>
      </c>
      <c r="D24">
        <f t="shared" si="1"/>
        <v>0.72842852954390835</v>
      </c>
      <c r="E24">
        <f t="shared" si="2"/>
        <v>3.4489576747923638</v>
      </c>
      <c r="F24">
        <f t="shared" si="3"/>
        <v>3.4343327679097952</v>
      </c>
      <c r="G24">
        <f t="shared" si="4"/>
        <v>2.1388790132380144E-4</v>
      </c>
    </row>
    <row r="25" spans="1:7" x14ac:dyDescent="0.2">
      <c r="A25">
        <v>166.5</v>
      </c>
      <c r="B25">
        <f t="shared" si="0"/>
        <v>16.649999999999999</v>
      </c>
      <c r="C25">
        <v>12.6</v>
      </c>
      <c r="D25">
        <f t="shared" si="1"/>
        <v>0.72678568337622296</v>
      </c>
      <c r="E25">
        <f t="shared" si="2"/>
        <v>3.4425003894595907</v>
      </c>
      <c r="F25">
        <f t="shared" si="3"/>
        <v>3.4230073876436715</v>
      </c>
      <c r="G25">
        <f t="shared" si="4"/>
        <v>3.7997711979542828E-4</v>
      </c>
    </row>
    <row r="26" spans="1:7" x14ac:dyDescent="0.2">
      <c r="A26">
        <v>165</v>
      </c>
      <c r="B26">
        <f t="shared" si="0"/>
        <v>16.5</v>
      </c>
      <c r="C26">
        <v>12.5</v>
      </c>
      <c r="D26">
        <f t="shared" si="1"/>
        <v>0.72591847798831288</v>
      </c>
      <c r="E26">
        <f t="shared" si="2"/>
        <v>3.4260190251460889</v>
      </c>
      <c r="F26">
        <f t="shared" si="3"/>
        <v>3.4000334611048331</v>
      </c>
      <c r="G26">
        <f t="shared" si="4"/>
        <v>6.7524953854220904E-4</v>
      </c>
    </row>
    <row r="27" spans="1:7" x14ac:dyDescent="0.2">
      <c r="A27">
        <v>164</v>
      </c>
      <c r="B27">
        <f t="shared" si="0"/>
        <v>16.399999999999999</v>
      </c>
      <c r="C27">
        <v>12.5</v>
      </c>
      <c r="D27">
        <f t="shared" si="1"/>
        <v>0.7243354027041522</v>
      </c>
      <c r="E27">
        <f t="shared" si="2"/>
        <v>3.4458074661980973</v>
      </c>
      <c r="F27">
        <f t="shared" si="3"/>
        <v>3.4237025798206226</v>
      </c>
      <c r="G27">
        <f t="shared" si="4"/>
        <v>4.8862600176106453E-4</v>
      </c>
    </row>
    <row r="28" spans="1:7" x14ac:dyDescent="0.2">
      <c r="A28">
        <v>164</v>
      </c>
      <c r="B28">
        <f t="shared" si="0"/>
        <v>16.399999999999999</v>
      </c>
      <c r="C28">
        <v>12.5</v>
      </c>
      <c r="D28">
        <f t="shared" si="1"/>
        <v>0.7243354027041522</v>
      </c>
      <c r="E28">
        <f t="shared" si="2"/>
        <v>3.4458074661980973</v>
      </c>
      <c r="F28">
        <f t="shared" si="3"/>
        <v>3.4237025798206226</v>
      </c>
      <c r="G28">
        <f t="shared" si="4"/>
        <v>4.8862600176106453E-4</v>
      </c>
    </row>
    <row r="29" spans="1:7" x14ac:dyDescent="0.2">
      <c r="A29">
        <v>162</v>
      </c>
      <c r="B29">
        <f t="shared" si="0"/>
        <v>16.2</v>
      </c>
      <c r="C29">
        <v>12.4</v>
      </c>
      <c r="D29">
        <f t="shared" si="1"/>
        <v>0.72265516898736915</v>
      </c>
      <c r="E29">
        <f t="shared" si="2"/>
        <v>3.4390759045566228</v>
      </c>
      <c r="F29">
        <f t="shared" si="3"/>
        <v>3.4127867656011315</v>
      </c>
      <c r="G29">
        <f t="shared" si="4"/>
        <v>6.9111882702113246E-4</v>
      </c>
    </row>
    <row r="30" spans="1:7" x14ac:dyDescent="0.2">
      <c r="A30">
        <v>161.5</v>
      </c>
      <c r="B30">
        <f t="shared" si="0"/>
        <v>16.149999999999999</v>
      </c>
      <c r="C30">
        <v>12.4</v>
      </c>
      <c r="D30">
        <f t="shared" si="1"/>
        <v>0.72185199054206639</v>
      </c>
      <c r="E30">
        <f t="shared" si="2"/>
        <v>3.4490353172783768</v>
      </c>
      <c r="F30">
        <f t="shared" si="3"/>
        <v>3.4248576925849816</v>
      </c>
      <c r="G30">
        <f t="shared" si="4"/>
        <v>5.8455753581466985E-4</v>
      </c>
    </row>
    <row r="31" spans="1:7" x14ac:dyDescent="0.2">
      <c r="A31">
        <v>158.5</v>
      </c>
      <c r="B31">
        <f t="shared" si="0"/>
        <v>15.85</v>
      </c>
      <c r="C31">
        <v>12.3</v>
      </c>
      <c r="D31">
        <f t="shared" si="1"/>
        <v>0.71851714300692682</v>
      </c>
      <c r="E31">
        <f t="shared" si="2"/>
        <v>3.4622391410148006</v>
      </c>
      <c r="F31">
        <f t="shared" si="3"/>
        <v>3.4388556416474034</v>
      </c>
      <c r="G31">
        <f t="shared" si="4"/>
        <v>5.4678804266506255E-4</v>
      </c>
    </row>
    <row r="32" spans="1:7" x14ac:dyDescent="0.2">
      <c r="A32">
        <v>159</v>
      </c>
      <c r="B32">
        <f t="shared" si="0"/>
        <v>15.9</v>
      </c>
      <c r="C32">
        <v>12.3</v>
      </c>
      <c r="D32">
        <f t="shared" si="1"/>
        <v>0.71933389917980028</v>
      </c>
      <c r="E32">
        <f t="shared" si="2"/>
        <v>3.4521930400884568</v>
      </c>
      <c r="F32">
        <f t="shared" si="3"/>
        <v>3.4264944719267891</v>
      </c>
      <c r="G32">
        <f t="shared" si="4"/>
        <v>6.604164055598814E-4</v>
      </c>
    </row>
    <row r="33" spans="1:7" x14ac:dyDescent="0.2">
      <c r="A33">
        <v>158.5</v>
      </c>
      <c r="B33">
        <f t="shared" si="0"/>
        <v>15.85</v>
      </c>
      <c r="C33">
        <v>12.3</v>
      </c>
      <c r="D33">
        <f t="shared" si="1"/>
        <v>0.71851714300692682</v>
      </c>
      <c r="E33">
        <f t="shared" si="2"/>
        <v>3.4622391410148006</v>
      </c>
      <c r="F33">
        <f t="shared" si="3"/>
        <v>3.4388556416474034</v>
      </c>
      <c r="G33">
        <f t="shared" si="4"/>
        <v>5.4678804266506255E-4</v>
      </c>
    </row>
    <row r="34" spans="1:7" x14ac:dyDescent="0.2">
      <c r="A34">
        <v>158.5</v>
      </c>
      <c r="B34">
        <f t="shared" si="0"/>
        <v>15.85</v>
      </c>
      <c r="C34">
        <v>12.3</v>
      </c>
      <c r="D34">
        <f t="shared" si="1"/>
        <v>0.71851714300692682</v>
      </c>
      <c r="E34">
        <f t="shared" si="2"/>
        <v>3.4622391410148006</v>
      </c>
      <c r="F34">
        <f t="shared" si="3"/>
        <v>3.4388556416474034</v>
      </c>
      <c r="G34">
        <f t="shared" si="4"/>
        <v>5.4678804266506255E-4</v>
      </c>
    </row>
    <row r="35" spans="1:7" x14ac:dyDescent="0.2">
      <c r="A35">
        <v>156.5</v>
      </c>
      <c r="B35">
        <f t="shared" si="0"/>
        <v>15.65</v>
      </c>
      <c r="C35">
        <v>12.2</v>
      </c>
      <c r="D35">
        <f t="shared" si="1"/>
        <v>0.71677948887754772</v>
      </c>
      <c r="E35">
        <f t="shared" si="2"/>
        <v>3.4552902356939175</v>
      </c>
      <c r="F35">
        <f t="shared" si="3"/>
        <v>3.4286360229620096</v>
      </c>
      <c r="G35">
        <f t="shared" si="4"/>
        <v>7.1044705635779702E-4</v>
      </c>
    </row>
    <row r="36" spans="1:7" x14ac:dyDescent="0.2">
      <c r="A36">
        <v>157</v>
      </c>
      <c r="B36">
        <f t="shared" si="0"/>
        <v>15.7</v>
      </c>
      <c r="C36">
        <v>12.2</v>
      </c>
      <c r="D36">
        <f t="shared" si="1"/>
        <v>0.71760461246867902</v>
      </c>
      <c r="E36">
        <f t="shared" si="2"/>
        <v>3.4452237278821158</v>
      </c>
      <c r="F36">
        <f t="shared" si="3"/>
        <v>3.4161496205607067</v>
      </c>
      <c r="G36">
        <f t="shared" si="4"/>
        <v>8.4530371653681637E-4</v>
      </c>
    </row>
    <row r="37" spans="1:7" x14ac:dyDescent="0.2">
      <c r="A37">
        <v>153.5</v>
      </c>
      <c r="B37">
        <f t="shared" si="0"/>
        <v>15.35</v>
      </c>
      <c r="C37">
        <v>12.1</v>
      </c>
      <c r="D37">
        <f t="shared" si="1"/>
        <v>0.71334719878423292</v>
      </c>
      <c r="E37">
        <f t="shared" si="2"/>
        <v>3.4684988947107818</v>
      </c>
      <c r="F37">
        <f t="shared" si="3"/>
        <v>3.4441058395557542</v>
      </c>
      <c r="G37">
        <f t="shared" si="4"/>
        <v>5.9502113979621578E-4</v>
      </c>
    </row>
    <row r="38" spans="1:7" x14ac:dyDescent="0.2">
      <c r="A38">
        <v>154.5</v>
      </c>
      <c r="B38">
        <f t="shared" si="0"/>
        <v>15.45</v>
      </c>
      <c r="C38">
        <v>12.1</v>
      </c>
      <c r="D38">
        <f t="shared" si="1"/>
        <v>0.71502379799106919</v>
      </c>
      <c r="E38">
        <f t="shared" si="2"/>
        <v>3.4482120443080628</v>
      </c>
      <c r="F38">
        <f t="shared" si="3"/>
        <v>3.4186001684181901</v>
      </c>
      <c r="G38">
        <f t="shared" si="4"/>
        <v>8.7686319371722322E-4</v>
      </c>
    </row>
    <row r="39" spans="1:7" x14ac:dyDescent="0.2">
      <c r="A39">
        <v>155.5</v>
      </c>
      <c r="B39">
        <f t="shared" si="0"/>
        <v>15.55</v>
      </c>
      <c r="C39">
        <v>12.1</v>
      </c>
      <c r="D39">
        <f t="shared" si="1"/>
        <v>0.71668832091106083</v>
      </c>
      <c r="E39">
        <f t="shared" si="2"/>
        <v>3.4280713169761641</v>
      </c>
      <c r="F39">
        <f t="shared" si="3"/>
        <v>3.3934596693809782</v>
      </c>
      <c r="G39">
        <f t="shared" si="4"/>
        <v>1.1979661492533358E-3</v>
      </c>
    </row>
    <row r="40" spans="1:7" x14ac:dyDescent="0.2">
      <c r="A40">
        <v>153.5</v>
      </c>
      <c r="B40">
        <f t="shared" si="0"/>
        <v>15.35</v>
      </c>
      <c r="C40">
        <v>12.1</v>
      </c>
      <c r="D40">
        <f t="shared" si="1"/>
        <v>0.71334719878423292</v>
      </c>
      <c r="E40">
        <f t="shared" si="2"/>
        <v>3.4684988947107818</v>
      </c>
      <c r="F40">
        <f t="shared" si="3"/>
        <v>3.4441058395557542</v>
      </c>
      <c r="G40">
        <f t="shared" si="4"/>
        <v>5.9502113979621578E-4</v>
      </c>
    </row>
    <row r="41" spans="1:7" x14ac:dyDescent="0.2">
      <c r="A41">
        <v>152.5</v>
      </c>
      <c r="B41">
        <f t="shared" si="0"/>
        <v>15.25</v>
      </c>
      <c r="C41">
        <v>12</v>
      </c>
      <c r="D41">
        <f t="shared" si="1"/>
        <v>0.7132493508070753</v>
      </c>
      <c r="E41">
        <f t="shared" si="2"/>
        <v>3.4410077903150964</v>
      </c>
      <c r="F41">
        <f t="shared" si="3"/>
        <v>3.4087552984786638</v>
      </c>
      <c r="G41">
        <f t="shared" si="4"/>
        <v>1.0402232296591542E-3</v>
      </c>
    </row>
    <row r="42" spans="1:7" x14ac:dyDescent="0.2">
      <c r="A42">
        <v>152</v>
      </c>
      <c r="B42">
        <f t="shared" si="0"/>
        <v>15.2</v>
      </c>
      <c r="C42">
        <v>12</v>
      </c>
      <c r="D42">
        <f t="shared" si="1"/>
        <v>0.71240356908830427</v>
      </c>
      <c r="E42">
        <f t="shared" si="2"/>
        <v>3.4511571709403488</v>
      </c>
      <c r="F42">
        <f t="shared" si="3"/>
        <v>3.4215971588664744</v>
      </c>
      <c r="G42">
        <f t="shared" si="4"/>
        <v>8.7379431380759883E-4</v>
      </c>
    </row>
    <row r="43" spans="1:7" x14ac:dyDescent="0.2">
      <c r="A43">
        <v>149.5</v>
      </c>
      <c r="B43">
        <f t="shared" si="0"/>
        <v>14.95</v>
      </c>
      <c r="C43">
        <v>11.9</v>
      </c>
      <c r="D43">
        <f t="shared" si="1"/>
        <v>0.70974199398078586</v>
      </c>
      <c r="E43">
        <f t="shared" si="2"/>
        <v>3.4540702716286482</v>
      </c>
      <c r="F43">
        <f t="shared" si="3"/>
        <v>3.4251679187308728</v>
      </c>
      <c r="G43">
        <f t="shared" si="4"/>
        <v>8.3534600302754777E-4</v>
      </c>
    </row>
    <row r="44" spans="1:7" x14ac:dyDescent="0.2">
      <c r="A44">
        <v>150</v>
      </c>
      <c r="B44">
        <f t="shared" si="0"/>
        <v>15</v>
      </c>
      <c r="C44">
        <v>11.9</v>
      </c>
      <c r="D44">
        <f t="shared" si="1"/>
        <v>0.710600309580533</v>
      </c>
      <c r="E44">
        <f t="shared" si="2"/>
        <v>3.4438563159916575</v>
      </c>
      <c r="F44">
        <f t="shared" si="3"/>
        <v>3.412090236056792</v>
      </c>
      <c r="G44">
        <f t="shared" si="4"/>
        <v>1.0090838344282693E-3</v>
      </c>
    </row>
    <row r="45" spans="1:7" x14ac:dyDescent="0.2">
      <c r="A45">
        <v>150</v>
      </c>
      <c r="B45">
        <f t="shared" si="0"/>
        <v>15</v>
      </c>
      <c r="C45">
        <v>11.9</v>
      </c>
      <c r="D45">
        <f t="shared" si="1"/>
        <v>0.710600309580533</v>
      </c>
      <c r="E45">
        <f t="shared" si="2"/>
        <v>3.4438563159916575</v>
      </c>
      <c r="F45">
        <f t="shared" si="3"/>
        <v>3.412090236056792</v>
      </c>
      <c r="G45">
        <f t="shared" si="4"/>
        <v>1.0090838344282693E-3</v>
      </c>
    </row>
    <row r="46" spans="1:7" x14ac:dyDescent="0.2">
      <c r="A46">
        <v>151</v>
      </c>
      <c r="B46">
        <f t="shared" si="0"/>
        <v>15.1</v>
      </c>
      <c r="C46">
        <v>11.9</v>
      </c>
      <c r="D46">
        <f t="shared" si="1"/>
        <v>0.71230726826965185</v>
      </c>
      <c r="E46">
        <f t="shared" si="2"/>
        <v>3.4235435075911429</v>
      </c>
      <c r="F46">
        <f t="shared" si="3"/>
        <v>3.3862232956173135</v>
      </c>
      <c r="G46">
        <f t="shared" si="4"/>
        <v>1.3927982217715592E-3</v>
      </c>
    </row>
    <row r="47" spans="1:7" x14ac:dyDescent="0.2">
      <c r="A47">
        <v>151</v>
      </c>
      <c r="B47">
        <f t="shared" si="0"/>
        <v>15.1</v>
      </c>
      <c r="C47">
        <v>11.9</v>
      </c>
      <c r="D47">
        <f t="shared" si="1"/>
        <v>0.71230726826965185</v>
      </c>
      <c r="E47">
        <f t="shared" si="2"/>
        <v>3.4235435075911429</v>
      </c>
      <c r="F47">
        <f t="shared" si="3"/>
        <v>3.3862232956173135</v>
      </c>
      <c r="G47">
        <f t="shared" si="4"/>
        <v>1.3927982217715592E-3</v>
      </c>
    </row>
    <row r="48" spans="1:7" x14ac:dyDescent="0.2">
      <c r="A48">
        <v>148</v>
      </c>
      <c r="B48">
        <f t="shared" si="0"/>
        <v>14.8</v>
      </c>
      <c r="C48">
        <v>11.8</v>
      </c>
      <c r="D48">
        <f t="shared" si="1"/>
        <v>0.70877643448517946</v>
      </c>
      <c r="E48">
        <f t="shared" si="2"/>
        <v>3.4364380730748825</v>
      </c>
      <c r="F48">
        <f t="shared" si="3"/>
        <v>3.4027943418642024</v>
      </c>
      <c r="G48">
        <f t="shared" si="4"/>
        <v>1.1319006497764899E-3</v>
      </c>
    </row>
    <row r="49" spans="1:7" x14ac:dyDescent="0.2">
      <c r="A49">
        <v>148</v>
      </c>
      <c r="B49">
        <f t="shared" si="0"/>
        <v>14.8</v>
      </c>
      <c r="C49">
        <v>11.8</v>
      </c>
      <c r="D49">
        <f t="shared" si="1"/>
        <v>0.70877643448517946</v>
      </c>
      <c r="E49">
        <f t="shared" si="2"/>
        <v>3.4364380730748825</v>
      </c>
      <c r="F49">
        <f t="shared" si="3"/>
        <v>3.4027943418642024</v>
      </c>
      <c r="G49">
        <f t="shared" si="4"/>
        <v>1.1319006497764899E-3</v>
      </c>
    </row>
    <row r="50" spans="1:7" x14ac:dyDescent="0.2">
      <c r="A50">
        <v>144.5</v>
      </c>
      <c r="B50">
        <f t="shared" si="0"/>
        <v>14.45</v>
      </c>
      <c r="C50">
        <v>11.7</v>
      </c>
      <c r="D50">
        <f t="shared" si="1"/>
        <v>0.70428645942995127</v>
      </c>
      <c r="E50">
        <f t="shared" si="2"/>
        <v>3.4598484246695698</v>
      </c>
      <c r="F50">
        <f t="shared" si="3"/>
        <v>3.4341492135243099</v>
      </c>
      <c r="G50">
        <f t="shared" si="4"/>
        <v>6.6044945348864856E-4</v>
      </c>
    </row>
    <row r="51" spans="1:7" x14ac:dyDescent="0.2">
      <c r="A51">
        <v>146.5</v>
      </c>
      <c r="B51">
        <f t="shared" si="0"/>
        <v>14.65</v>
      </c>
      <c r="C51">
        <v>11.7</v>
      </c>
      <c r="D51">
        <f t="shared" si="1"/>
        <v>0.70780571880918997</v>
      </c>
      <c r="E51">
        <f t="shared" si="2"/>
        <v>3.4186730899324771</v>
      </c>
      <c r="F51">
        <f t="shared" si="3"/>
        <v>3.3804446187960626</v>
      </c>
      <c r="G51">
        <f t="shared" si="4"/>
        <v>1.4614160054276747E-3</v>
      </c>
    </row>
    <row r="52" spans="1:7" x14ac:dyDescent="0.2">
      <c r="A52">
        <v>145.5</v>
      </c>
      <c r="B52">
        <f t="shared" si="0"/>
        <v>14.55</v>
      </c>
      <c r="C52">
        <v>11.7</v>
      </c>
      <c r="D52">
        <f t="shared" si="1"/>
        <v>0.70605303008948583</v>
      </c>
      <c r="E52">
        <f t="shared" si="2"/>
        <v>3.4391795479530156</v>
      </c>
      <c r="F52">
        <f t="shared" si="3"/>
        <v>3.4070926872595977</v>
      </c>
      <c r="G52">
        <f t="shared" si="4"/>
        <v>1.0295666291588086E-3</v>
      </c>
    </row>
    <row r="53" spans="1:7" x14ac:dyDescent="0.2">
      <c r="A53">
        <v>144.5</v>
      </c>
      <c r="B53">
        <f t="shared" si="0"/>
        <v>14.45</v>
      </c>
      <c r="C53">
        <v>11.7</v>
      </c>
      <c r="D53">
        <f t="shared" si="1"/>
        <v>0.70428645942995127</v>
      </c>
      <c r="E53">
        <f t="shared" si="2"/>
        <v>3.4598484246695698</v>
      </c>
      <c r="F53">
        <f t="shared" si="3"/>
        <v>3.4341492135243099</v>
      </c>
      <c r="G53">
        <f t="shared" si="4"/>
        <v>6.6044945348864856E-4</v>
      </c>
    </row>
    <row r="54" spans="1:7" x14ac:dyDescent="0.2">
      <c r="A54">
        <v>145</v>
      </c>
      <c r="B54">
        <f t="shared" si="0"/>
        <v>14.5</v>
      </c>
      <c r="C54">
        <v>11.7</v>
      </c>
      <c r="D54">
        <f t="shared" si="1"/>
        <v>0.70517149573533555</v>
      </c>
      <c r="E54">
        <f t="shared" si="2"/>
        <v>3.4494934998965738</v>
      </c>
      <c r="F54">
        <f t="shared" si="3"/>
        <v>3.4205693736091036</v>
      </c>
      <c r="G54">
        <f t="shared" si="4"/>
        <v>8.3660508149352518E-4</v>
      </c>
    </row>
    <row r="55" spans="1:7" x14ac:dyDescent="0.2">
      <c r="A55">
        <v>145</v>
      </c>
      <c r="B55">
        <f t="shared" si="0"/>
        <v>14.5</v>
      </c>
      <c r="C55">
        <v>11.7</v>
      </c>
      <c r="D55">
        <f t="shared" si="1"/>
        <v>0.70517149573533555</v>
      </c>
      <c r="E55">
        <f t="shared" si="2"/>
        <v>3.4494934998965738</v>
      </c>
      <c r="F55">
        <f t="shared" si="3"/>
        <v>3.4205693736091036</v>
      </c>
      <c r="G55">
        <f t="shared" si="4"/>
        <v>8.3660508149352518E-4</v>
      </c>
    </row>
    <row r="56" spans="1:7" x14ac:dyDescent="0.2">
      <c r="A56">
        <v>143.5</v>
      </c>
      <c r="B56">
        <f t="shared" si="0"/>
        <v>14.35</v>
      </c>
      <c r="C56">
        <v>11.6</v>
      </c>
      <c r="D56">
        <f t="shared" si="1"/>
        <v>0.70417494784395984</v>
      </c>
      <c r="E56">
        <f t="shared" si="2"/>
        <v>3.4315706050100658</v>
      </c>
      <c r="F56">
        <f t="shared" si="3"/>
        <v>3.3984010096077952</v>
      </c>
      <c r="G56">
        <f t="shared" si="4"/>
        <v>1.100222059150331E-3</v>
      </c>
    </row>
    <row r="57" spans="1:7" x14ac:dyDescent="0.2">
      <c r="A57">
        <v>144</v>
      </c>
      <c r="B57">
        <f t="shared" si="0"/>
        <v>14.4</v>
      </c>
      <c r="C57">
        <v>11.6</v>
      </c>
      <c r="D57">
        <f t="shared" si="1"/>
        <v>0.70506339393693551</v>
      </c>
      <c r="E57">
        <f t="shared" si="2"/>
        <v>3.4212646303315482</v>
      </c>
      <c r="F57">
        <f t="shared" si="3"/>
        <v>3.3848706534136781</v>
      </c>
      <c r="G57">
        <f t="shared" si="4"/>
        <v>1.3245215558984581E-3</v>
      </c>
    </row>
    <row r="58" spans="1:7" x14ac:dyDescent="0.2">
      <c r="A58">
        <v>143.5</v>
      </c>
      <c r="B58">
        <f t="shared" si="0"/>
        <v>14.35</v>
      </c>
      <c r="C58">
        <v>11.6</v>
      </c>
      <c r="D58">
        <f t="shared" si="1"/>
        <v>0.70417494784395984</v>
      </c>
      <c r="E58">
        <f t="shared" si="2"/>
        <v>3.4315706050100658</v>
      </c>
      <c r="F58">
        <f t="shared" si="3"/>
        <v>3.3984010096077952</v>
      </c>
      <c r="G58">
        <f t="shared" si="4"/>
        <v>1.100222059150331E-3</v>
      </c>
    </row>
    <row r="59" spans="1:7" x14ac:dyDescent="0.2">
      <c r="A59">
        <v>142</v>
      </c>
      <c r="B59">
        <f t="shared" si="0"/>
        <v>14.2</v>
      </c>
      <c r="C59">
        <v>11.5</v>
      </c>
      <c r="D59">
        <f t="shared" si="1"/>
        <v>0.7031723922586548</v>
      </c>
      <c r="E59">
        <f t="shared" si="2"/>
        <v>3.4135174890254696</v>
      </c>
      <c r="F59">
        <f t="shared" si="3"/>
        <v>3.3762615737724877</v>
      </c>
      <c r="G59">
        <f t="shared" si="4"/>
        <v>1.3880032213373684E-3</v>
      </c>
    </row>
    <row r="60" spans="1:7" x14ac:dyDescent="0.2">
      <c r="A60">
        <v>141.5</v>
      </c>
      <c r="B60">
        <f t="shared" si="0"/>
        <v>14.15</v>
      </c>
      <c r="C60">
        <v>11.5</v>
      </c>
      <c r="D60">
        <f t="shared" si="1"/>
        <v>0.70227320360051648</v>
      </c>
      <c r="E60">
        <f t="shared" si="2"/>
        <v>3.4238581585940606</v>
      </c>
      <c r="F60">
        <f t="shared" si="3"/>
        <v>3.3899529125253025</v>
      </c>
      <c r="G60">
        <f t="shared" si="4"/>
        <v>1.1495657109830374E-3</v>
      </c>
    </row>
    <row r="61" spans="1:7" x14ac:dyDescent="0.2">
      <c r="A61">
        <v>139.5</v>
      </c>
      <c r="B61">
        <f t="shared" si="0"/>
        <v>13.95</v>
      </c>
      <c r="C61">
        <v>11.4</v>
      </c>
      <c r="D61">
        <f t="shared" si="1"/>
        <v>0.70034678707354259</v>
      </c>
      <c r="E61">
        <f t="shared" si="2"/>
        <v>3.4160466273616148</v>
      </c>
      <c r="F61">
        <f t="shared" si="3"/>
        <v>3.3817587927283537</v>
      </c>
      <c r="G61">
        <f t="shared" si="4"/>
        <v>1.1756556038378613E-3</v>
      </c>
    </row>
    <row r="62" spans="1:7" x14ac:dyDescent="0.2">
      <c r="A62">
        <v>138.5</v>
      </c>
      <c r="B62">
        <f t="shared" si="0"/>
        <v>13.85</v>
      </c>
      <c r="C62">
        <v>11.4</v>
      </c>
      <c r="D62">
        <f t="shared" si="1"/>
        <v>0.69851467302290982</v>
      </c>
      <c r="E62">
        <f t="shared" si="2"/>
        <v>3.4369327275388284</v>
      </c>
      <c r="F62">
        <f t="shared" si="3"/>
        <v>3.4098051804387719</v>
      </c>
      <c r="G62">
        <f t="shared" si="4"/>
        <v>7.359038116657834E-4</v>
      </c>
    </row>
    <row r="63" spans="1:7" x14ac:dyDescent="0.2">
      <c r="A63">
        <v>137</v>
      </c>
      <c r="B63">
        <f t="shared" si="0"/>
        <v>13.7</v>
      </c>
      <c r="C63">
        <v>11.3</v>
      </c>
      <c r="D63">
        <f t="shared" si="1"/>
        <v>0.69746885839260175</v>
      </c>
      <c r="E63">
        <f t="shared" si="2"/>
        <v>3.4186019001636003</v>
      </c>
      <c r="F63">
        <f t="shared" si="3"/>
        <v>3.3879722739108029</v>
      </c>
      <c r="G63">
        <f t="shared" si="4"/>
        <v>9.3817400438605657E-4</v>
      </c>
    </row>
    <row r="64" spans="1:7" x14ac:dyDescent="0.2">
      <c r="A64">
        <v>137.5</v>
      </c>
      <c r="B64">
        <f t="shared" si="0"/>
        <v>13.75</v>
      </c>
      <c r="C64">
        <v>11.3</v>
      </c>
      <c r="D64">
        <f t="shared" si="1"/>
        <v>0.69839463262260593</v>
      </c>
      <c r="E64">
        <f t="shared" si="2"/>
        <v>3.4081406513645534</v>
      </c>
      <c r="F64">
        <f t="shared" si="3"/>
        <v>3.3738296367552651</v>
      </c>
      <c r="G64">
        <f t="shared" si="4"/>
        <v>1.1772457235187887E-3</v>
      </c>
    </row>
    <row r="65" spans="1:7" x14ac:dyDescent="0.2">
      <c r="A65">
        <v>134</v>
      </c>
      <c r="B65">
        <f t="shared" si="0"/>
        <v>13.4</v>
      </c>
      <c r="C65">
        <v>11.2</v>
      </c>
      <c r="D65">
        <f t="shared" si="1"/>
        <v>0.69358968596873904</v>
      </c>
      <c r="E65">
        <f t="shared" si="2"/>
        <v>3.4317955171501224</v>
      </c>
      <c r="F65">
        <f t="shared" si="3"/>
        <v>3.4095002102594689</v>
      </c>
      <c r="G65">
        <f t="shared" si="4"/>
        <v>4.9708070934842191E-4</v>
      </c>
    </row>
    <row r="66" spans="1:7" x14ac:dyDescent="0.2">
      <c r="A66">
        <v>135</v>
      </c>
      <c r="B66">
        <f t="shared" ref="B66:B129" si="5">A66/10</f>
        <v>13.5</v>
      </c>
      <c r="C66">
        <v>11.2</v>
      </c>
      <c r="D66">
        <f t="shared" ref="D66:D129" si="6">EXP(-ABS((-1.8796+0.34056*(C66/B66)-0.0061*B66+0.8262*LN($C$206))))</f>
        <v>0.69547777302189329</v>
      </c>
      <c r="E66">
        <f t="shared" ref="E66:E129" si="7">C66*(1-D66)</f>
        <v>3.4106489421547952</v>
      </c>
      <c r="F66">
        <f t="shared" ref="F66:F129" si="8">C66*(1-EXP(-($J$1+$J$2*(C66/B66))*($J$1+$J$2*(C66/B66))))</f>
        <v>3.3805007957690454</v>
      </c>
      <c r="G66">
        <f t="shared" ref="G66:G129" si="9">(E66-F66)^2</f>
        <v>9.0891073049659916E-4</v>
      </c>
    </row>
    <row r="67" spans="1:7" x14ac:dyDescent="0.2">
      <c r="A67">
        <v>134.5</v>
      </c>
      <c r="B67">
        <f t="shared" si="5"/>
        <v>13.45</v>
      </c>
      <c r="C67">
        <v>11.2</v>
      </c>
      <c r="D67">
        <f t="shared" si="6"/>
        <v>0.69453580987840868</v>
      </c>
      <c r="E67">
        <f t="shared" si="7"/>
        <v>3.4211989293618226</v>
      </c>
      <c r="F67">
        <f t="shared" si="8"/>
        <v>3.3949414224974523</v>
      </c>
      <c r="G67">
        <f t="shared" si="9"/>
        <v>6.894566667324496E-4</v>
      </c>
    </row>
    <row r="68" spans="1:7" x14ac:dyDescent="0.2">
      <c r="A68">
        <v>135.5</v>
      </c>
      <c r="B68">
        <f t="shared" si="5"/>
        <v>13.55</v>
      </c>
      <c r="C68">
        <v>11.2</v>
      </c>
      <c r="D68">
        <f t="shared" si="6"/>
        <v>0.69641561540788388</v>
      </c>
      <c r="E68">
        <f t="shared" si="7"/>
        <v>3.4001451074317002</v>
      </c>
      <c r="F68">
        <f t="shared" si="8"/>
        <v>3.3661770626171643</v>
      </c>
      <c r="G68">
        <f t="shared" si="9"/>
        <v>1.1538280685223165E-3</v>
      </c>
    </row>
    <row r="69" spans="1:7" x14ac:dyDescent="0.2">
      <c r="A69">
        <v>134.5</v>
      </c>
      <c r="B69">
        <f t="shared" si="5"/>
        <v>13.45</v>
      </c>
      <c r="C69">
        <v>11.2</v>
      </c>
      <c r="D69">
        <f t="shared" si="6"/>
        <v>0.69453580987840868</v>
      </c>
      <c r="E69">
        <f t="shared" si="7"/>
        <v>3.4211989293618226</v>
      </c>
      <c r="F69">
        <f t="shared" si="8"/>
        <v>3.3949414224974523</v>
      </c>
      <c r="G69">
        <f t="shared" si="9"/>
        <v>6.894566667324496E-4</v>
      </c>
    </row>
    <row r="70" spans="1:7" x14ac:dyDescent="0.2">
      <c r="A70">
        <v>135.5</v>
      </c>
      <c r="B70">
        <f t="shared" si="5"/>
        <v>13.55</v>
      </c>
      <c r="C70">
        <v>11.2</v>
      </c>
      <c r="D70">
        <f t="shared" si="6"/>
        <v>0.69641561540788388</v>
      </c>
      <c r="E70">
        <f t="shared" si="7"/>
        <v>3.4001451074317002</v>
      </c>
      <c r="F70">
        <f t="shared" si="8"/>
        <v>3.3661770626171643</v>
      </c>
      <c r="G70">
        <f t="shared" si="9"/>
        <v>1.1538280685223165E-3</v>
      </c>
    </row>
    <row r="71" spans="1:7" x14ac:dyDescent="0.2">
      <c r="A71">
        <v>132.5</v>
      </c>
      <c r="B71">
        <f t="shared" si="5"/>
        <v>13.25</v>
      </c>
      <c r="C71">
        <v>11.1</v>
      </c>
      <c r="D71">
        <f t="shared" si="6"/>
        <v>0.69250357360794923</v>
      </c>
      <c r="E71">
        <f t="shared" si="7"/>
        <v>3.4132103329517633</v>
      </c>
      <c r="F71">
        <f t="shared" si="8"/>
        <v>3.3879558995753358</v>
      </c>
      <c r="G71">
        <f t="shared" si="9"/>
        <v>6.3778640516441634E-4</v>
      </c>
    </row>
    <row r="72" spans="1:7" x14ac:dyDescent="0.2">
      <c r="A72">
        <v>132</v>
      </c>
      <c r="B72">
        <f t="shared" si="5"/>
        <v>13.2</v>
      </c>
      <c r="C72">
        <v>11.1</v>
      </c>
      <c r="D72">
        <f t="shared" si="6"/>
        <v>0.69154465031220713</v>
      </c>
      <c r="E72">
        <f t="shared" si="7"/>
        <v>3.4238543815345008</v>
      </c>
      <c r="F72">
        <f t="shared" si="8"/>
        <v>3.4027084918642134</v>
      </c>
      <c r="G72">
        <f t="shared" si="9"/>
        <v>4.4714864994796781E-4</v>
      </c>
    </row>
    <row r="73" spans="1:7" x14ac:dyDescent="0.2">
      <c r="A73">
        <v>133</v>
      </c>
      <c r="B73">
        <f t="shared" si="5"/>
        <v>13.3</v>
      </c>
      <c r="C73">
        <v>11.1</v>
      </c>
      <c r="D73">
        <f t="shared" si="6"/>
        <v>0.69345819193130864</v>
      </c>
      <c r="E73">
        <f t="shared" si="7"/>
        <v>3.4026140695624738</v>
      </c>
      <c r="F73">
        <f t="shared" si="8"/>
        <v>3.3733246295796691</v>
      </c>
      <c r="G73">
        <f t="shared" si="9"/>
        <v>8.5787129450632174E-4</v>
      </c>
    </row>
    <row r="74" spans="1:7" x14ac:dyDescent="0.2">
      <c r="A74">
        <v>133.5</v>
      </c>
      <c r="B74">
        <f t="shared" si="5"/>
        <v>13.35</v>
      </c>
      <c r="C74">
        <v>11.1</v>
      </c>
      <c r="D74">
        <f t="shared" si="6"/>
        <v>0.69440854722112921</v>
      </c>
      <c r="E74">
        <f t="shared" si="7"/>
        <v>3.3920651258454657</v>
      </c>
      <c r="F74">
        <f t="shared" si="8"/>
        <v>3.358813364956049</v>
      </c>
      <c r="G74">
        <f t="shared" si="9"/>
        <v>1.1056796022469438E-3</v>
      </c>
    </row>
    <row r="75" spans="1:7" x14ac:dyDescent="0.2">
      <c r="A75">
        <v>132</v>
      </c>
      <c r="B75">
        <f t="shared" si="5"/>
        <v>13.2</v>
      </c>
      <c r="C75">
        <v>11.1</v>
      </c>
      <c r="D75">
        <f t="shared" si="6"/>
        <v>0.69154465031220713</v>
      </c>
      <c r="E75">
        <f t="shared" si="7"/>
        <v>3.4238543815345008</v>
      </c>
      <c r="F75">
        <f t="shared" si="8"/>
        <v>3.4027084918642134</v>
      </c>
      <c r="G75">
        <f t="shared" si="9"/>
        <v>4.4714864994796781E-4</v>
      </c>
    </row>
    <row r="76" spans="1:7" x14ac:dyDescent="0.2">
      <c r="A76">
        <v>130.5</v>
      </c>
      <c r="B76">
        <f t="shared" si="5"/>
        <v>13.05</v>
      </c>
      <c r="C76">
        <v>11</v>
      </c>
      <c r="D76">
        <f t="shared" si="6"/>
        <v>0.69044108728062359</v>
      </c>
      <c r="E76">
        <f t="shared" si="7"/>
        <v>3.4051480399131404</v>
      </c>
      <c r="F76">
        <f t="shared" si="8"/>
        <v>3.381285942508125</v>
      </c>
      <c r="G76">
        <f t="shared" si="9"/>
        <v>5.6939969256644446E-4</v>
      </c>
    </row>
    <row r="77" spans="1:7" x14ac:dyDescent="0.2">
      <c r="A77">
        <v>131.5</v>
      </c>
      <c r="B77">
        <f t="shared" si="5"/>
        <v>13.15</v>
      </c>
      <c r="C77">
        <v>11</v>
      </c>
      <c r="D77">
        <f t="shared" si="6"/>
        <v>0.69237217195982526</v>
      </c>
      <c r="E77">
        <f t="shared" si="7"/>
        <v>3.3839061084419222</v>
      </c>
      <c r="F77">
        <f t="shared" si="8"/>
        <v>3.3517515640514484</v>
      </c>
      <c r="G77">
        <f t="shared" si="9"/>
        <v>1.033914724958952E-3</v>
      </c>
    </row>
    <row r="78" spans="1:7" x14ac:dyDescent="0.2">
      <c r="A78">
        <v>131.5</v>
      </c>
      <c r="B78">
        <f t="shared" si="5"/>
        <v>13.15</v>
      </c>
      <c r="C78">
        <v>11</v>
      </c>
      <c r="D78">
        <f t="shared" si="6"/>
        <v>0.69237217195982526</v>
      </c>
      <c r="E78">
        <f t="shared" si="7"/>
        <v>3.3839061084419222</v>
      </c>
      <c r="F78">
        <f t="shared" si="8"/>
        <v>3.3517515640514484</v>
      </c>
      <c r="G78">
        <f t="shared" si="9"/>
        <v>1.033914724958952E-3</v>
      </c>
    </row>
    <row r="79" spans="1:7" x14ac:dyDescent="0.2">
      <c r="A79">
        <v>127.5</v>
      </c>
      <c r="B79">
        <f t="shared" si="5"/>
        <v>12.75</v>
      </c>
      <c r="C79">
        <v>10.8</v>
      </c>
      <c r="D79">
        <f t="shared" si="6"/>
        <v>0.68820610638648483</v>
      </c>
      <c r="E79">
        <f t="shared" si="7"/>
        <v>3.3673740510259642</v>
      </c>
      <c r="F79">
        <f t="shared" si="8"/>
        <v>3.3385896858684454</v>
      </c>
      <c r="G79">
        <f t="shared" si="9"/>
        <v>8.2853967752138285E-4</v>
      </c>
    </row>
    <row r="80" spans="1:7" x14ac:dyDescent="0.2">
      <c r="A80">
        <v>126.5</v>
      </c>
      <c r="B80">
        <f t="shared" si="5"/>
        <v>12.65</v>
      </c>
      <c r="C80">
        <v>10.8</v>
      </c>
      <c r="D80">
        <f t="shared" si="6"/>
        <v>0.68621976710912558</v>
      </c>
      <c r="E80">
        <f t="shared" si="7"/>
        <v>3.3888265152214441</v>
      </c>
      <c r="F80">
        <f t="shared" si="8"/>
        <v>3.3689516553209775</v>
      </c>
      <c r="G80">
        <f t="shared" si="9"/>
        <v>3.9501005606317353E-4</v>
      </c>
    </row>
    <row r="81" spans="1:7" x14ac:dyDescent="0.2">
      <c r="A81">
        <v>127.5</v>
      </c>
      <c r="B81">
        <f t="shared" si="5"/>
        <v>12.75</v>
      </c>
      <c r="C81">
        <v>10.8</v>
      </c>
      <c r="D81">
        <f t="shared" si="6"/>
        <v>0.68820610638648483</v>
      </c>
      <c r="E81">
        <f t="shared" si="7"/>
        <v>3.3673740510259642</v>
      </c>
      <c r="F81">
        <f t="shared" si="8"/>
        <v>3.3385896858684454</v>
      </c>
      <c r="G81">
        <f t="shared" si="9"/>
        <v>8.2853967752138285E-4</v>
      </c>
    </row>
    <row r="82" spans="1:7" x14ac:dyDescent="0.2">
      <c r="A82">
        <v>125.5</v>
      </c>
      <c r="B82">
        <f t="shared" si="5"/>
        <v>12.55</v>
      </c>
      <c r="C82">
        <v>10.7</v>
      </c>
      <c r="D82">
        <f t="shared" si="6"/>
        <v>0.68607351791824556</v>
      </c>
      <c r="E82">
        <f t="shared" si="7"/>
        <v>3.3590133582747721</v>
      </c>
      <c r="F82">
        <f t="shared" si="8"/>
        <v>3.3325197801471611</v>
      </c>
      <c r="G82">
        <f t="shared" si="9"/>
        <v>7.0190968200382767E-4</v>
      </c>
    </row>
    <row r="83" spans="1:7" x14ac:dyDescent="0.2">
      <c r="A83">
        <v>126</v>
      </c>
      <c r="B83">
        <f t="shared" si="5"/>
        <v>12.6</v>
      </c>
      <c r="C83">
        <v>10.7</v>
      </c>
      <c r="D83">
        <f t="shared" si="6"/>
        <v>0.68707400263749474</v>
      </c>
      <c r="E83">
        <f t="shared" si="7"/>
        <v>3.3483081717788061</v>
      </c>
      <c r="F83">
        <f t="shared" si="8"/>
        <v>3.3173194923344047</v>
      </c>
      <c r="G83">
        <f t="shared" si="9"/>
        <v>9.6029825370786727E-4</v>
      </c>
    </row>
    <row r="84" spans="1:7" x14ac:dyDescent="0.2">
      <c r="A84">
        <v>125.5</v>
      </c>
      <c r="B84">
        <f t="shared" si="5"/>
        <v>12.55</v>
      </c>
      <c r="C84">
        <v>10.7</v>
      </c>
      <c r="D84">
        <f t="shared" si="6"/>
        <v>0.68607351791824556</v>
      </c>
      <c r="E84">
        <f t="shared" si="7"/>
        <v>3.3590133582747721</v>
      </c>
      <c r="F84">
        <f t="shared" si="8"/>
        <v>3.3325197801471611</v>
      </c>
      <c r="G84">
        <f t="shared" si="9"/>
        <v>7.0190968200382767E-4</v>
      </c>
    </row>
    <row r="85" spans="1:7" x14ac:dyDescent="0.2">
      <c r="A85">
        <v>126</v>
      </c>
      <c r="B85">
        <f t="shared" si="5"/>
        <v>12.6</v>
      </c>
      <c r="C85">
        <v>10.7</v>
      </c>
      <c r="D85">
        <f t="shared" si="6"/>
        <v>0.68707400263749474</v>
      </c>
      <c r="E85">
        <f t="shared" si="7"/>
        <v>3.3483081717788061</v>
      </c>
      <c r="F85">
        <f t="shared" si="8"/>
        <v>3.3173194923344047</v>
      </c>
      <c r="G85">
        <f t="shared" si="9"/>
        <v>9.6029825370786727E-4</v>
      </c>
    </row>
    <row r="86" spans="1:7" x14ac:dyDescent="0.2">
      <c r="A86">
        <v>126</v>
      </c>
      <c r="B86">
        <f t="shared" si="5"/>
        <v>12.6</v>
      </c>
      <c r="C86">
        <v>10.7</v>
      </c>
      <c r="D86">
        <f t="shared" si="6"/>
        <v>0.68707400263749474</v>
      </c>
      <c r="E86">
        <f t="shared" si="7"/>
        <v>3.3483081717788061</v>
      </c>
      <c r="F86">
        <f t="shared" si="8"/>
        <v>3.3173194923344047</v>
      </c>
      <c r="G86">
        <f t="shared" si="9"/>
        <v>9.6029825370786727E-4</v>
      </c>
    </row>
    <row r="87" spans="1:7" x14ac:dyDescent="0.2">
      <c r="A87">
        <v>124.5</v>
      </c>
      <c r="B87">
        <f t="shared" si="5"/>
        <v>12.45</v>
      </c>
      <c r="C87">
        <v>10.7</v>
      </c>
      <c r="D87">
        <f t="shared" si="6"/>
        <v>0.68405792435440249</v>
      </c>
      <c r="E87">
        <f t="shared" si="7"/>
        <v>3.3805802094078929</v>
      </c>
      <c r="F87">
        <f t="shared" si="8"/>
        <v>3.3633190682924305</v>
      </c>
      <c r="G87">
        <f t="shared" si="9"/>
        <v>2.9794699260790646E-4</v>
      </c>
    </row>
    <row r="88" spans="1:7" x14ac:dyDescent="0.2">
      <c r="A88">
        <v>123.5</v>
      </c>
      <c r="B88">
        <f t="shared" si="5"/>
        <v>12.35</v>
      </c>
      <c r="C88">
        <v>10.6</v>
      </c>
      <c r="D88">
        <f t="shared" si="6"/>
        <v>0.6839058138737123</v>
      </c>
      <c r="E88">
        <f t="shared" si="7"/>
        <v>3.3505983729386495</v>
      </c>
      <c r="F88">
        <f t="shared" si="8"/>
        <v>3.3268122459247138</v>
      </c>
      <c r="G88">
        <f t="shared" si="9"/>
        <v>5.6577983832308053E-4</v>
      </c>
    </row>
    <row r="89" spans="1:7" x14ac:dyDescent="0.2">
      <c r="A89">
        <v>123.5</v>
      </c>
      <c r="B89">
        <f t="shared" si="5"/>
        <v>12.35</v>
      </c>
      <c r="C89">
        <v>10.6</v>
      </c>
      <c r="D89">
        <f t="shared" si="6"/>
        <v>0.6839058138737123</v>
      </c>
      <c r="E89">
        <f t="shared" si="7"/>
        <v>3.3505983729386495</v>
      </c>
      <c r="F89">
        <f t="shared" si="8"/>
        <v>3.3268122459247138</v>
      </c>
      <c r="G89">
        <f t="shared" si="9"/>
        <v>5.6577983832308053E-4</v>
      </c>
    </row>
    <row r="90" spans="1:7" x14ac:dyDescent="0.2">
      <c r="A90">
        <v>122</v>
      </c>
      <c r="B90">
        <f t="shared" si="5"/>
        <v>12.2</v>
      </c>
      <c r="C90">
        <v>10.5</v>
      </c>
      <c r="D90">
        <f t="shared" si="6"/>
        <v>0.68273227662788105</v>
      </c>
      <c r="E90">
        <f t="shared" si="7"/>
        <v>3.3313110954072491</v>
      </c>
      <c r="F90">
        <f t="shared" si="8"/>
        <v>3.3058331520311834</v>
      </c>
      <c r="G90">
        <f t="shared" si="9"/>
        <v>6.4912559867400909E-4</v>
      </c>
    </row>
    <row r="91" spans="1:7" x14ac:dyDescent="0.2">
      <c r="A91">
        <v>119</v>
      </c>
      <c r="B91">
        <f t="shared" si="5"/>
        <v>11.9</v>
      </c>
      <c r="C91">
        <v>10.4</v>
      </c>
      <c r="D91">
        <f t="shared" si="6"/>
        <v>0.67840567542474539</v>
      </c>
      <c r="E91">
        <f t="shared" si="7"/>
        <v>3.3445809755826481</v>
      </c>
      <c r="F91">
        <f t="shared" si="8"/>
        <v>3.3325904962305644</v>
      </c>
      <c r="G91">
        <f t="shared" si="9"/>
        <v>1.4377159509274673E-4</v>
      </c>
    </row>
    <row r="92" spans="1:7" x14ac:dyDescent="0.2">
      <c r="A92">
        <v>120</v>
      </c>
      <c r="B92">
        <f t="shared" si="5"/>
        <v>12</v>
      </c>
      <c r="C92">
        <v>10.4</v>
      </c>
      <c r="D92">
        <f t="shared" si="6"/>
        <v>0.68050537403592326</v>
      </c>
      <c r="E92">
        <f t="shared" si="7"/>
        <v>3.3227441100263984</v>
      </c>
      <c r="F92">
        <f t="shared" si="8"/>
        <v>3.3006651547186352</v>
      </c>
      <c r="G92">
        <f t="shared" si="9"/>
        <v>4.8748026748220299E-4</v>
      </c>
    </row>
    <row r="93" spans="1:7" x14ac:dyDescent="0.2">
      <c r="A93">
        <v>120</v>
      </c>
      <c r="B93">
        <f t="shared" si="5"/>
        <v>12</v>
      </c>
      <c r="C93">
        <v>10.4</v>
      </c>
      <c r="D93">
        <f t="shared" si="6"/>
        <v>0.68050537403592326</v>
      </c>
      <c r="E93">
        <f t="shared" si="7"/>
        <v>3.3227441100263984</v>
      </c>
      <c r="F93">
        <f t="shared" si="8"/>
        <v>3.3006651547186352</v>
      </c>
      <c r="G93">
        <f t="shared" si="9"/>
        <v>4.8748026748220299E-4</v>
      </c>
    </row>
    <row r="94" spans="1:7" x14ac:dyDescent="0.2">
      <c r="A94">
        <v>119.5</v>
      </c>
      <c r="B94">
        <f t="shared" si="5"/>
        <v>11.95</v>
      </c>
      <c r="C94">
        <v>10.4</v>
      </c>
      <c r="D94">
        <f t="shared" si="6"/>
        <v>0.67945823924708748</v>
      </c>
      <c r="E94">
        <f t="shared" si="7"/>
        <v>3.3336343118302905</v>
      </c>
      <c r="F94">
        <f t="shared" si="8"/>
        <v>3.3165556059514012</v>
      </c>
      <c r="G94">
        <f t="shared" si="9"/>
        <v>2.916821944976068E-4</v>
      </c>
    </row>
    <row r="95" spans="1:7" x14ac:dyDescent="0.2">
      <c r="A95">
        <v>117</v>
      </c>
      <c r="B95">
        <f t="shared" si="5"/>
        <v>11.7</v>
      </c>
      <c r="C95">
        <v>10.3</v>
      </c>
      <c r="D95">
        <f t="shared" si="6"/>
        <v>0.67610506697047079</v>
      </c>
      <c r="E95">
        <f t="shared" si="7"/>
        <v>3.3361178102041511</v>
      </c>
      <c r="F95">
        <f t="shared" si="8"/>
        <v>3.3283329249979325</v>
      </c>
      <c r="G95">
        <f t="shared" si="9"/>
        <v>6.0604437674000616E-5</v>
      </c>
    </row>
    <row r="96" spans="1:7" x14ac:dyDescent="0.2">
      <c r="A96">
        <v>116.5</v>
      </c>
      <c r="B96">
        <f t="shared" si="5"/>
        <v>11.65</v>
      </c>
      <c r="C96">
        <v>10.199999999999999</v>
      </c>
      <c r="D96">
        <f t="shared" si="6"/>
        <v>0.67700591867985704</v>
      </c>
      <c r="E96">
        <f t="shared" si="7"/>
        <v>3.2945396294654579</v>
      </c>
      <c r="F96">
        <f t="shared" si="8"/>
        <v>3.275330366878189</v>
      </c>
      <c r="G96">
        <f t="shared" si="9"/>
        <v>3.6899576914664671E-4</v>
      </c>
    </row>
    <row r="97" spans="1:7" x14ac:dyDescent="0.2">
      <c r="A97">
        <v>116.5</v>
      </c>
      <c r="B97">
        <f t="shared" si="5"/>
        <v>11.65</v>
      </c>
      <c r="C97">
        <v>10.199999999999999</v>
      </c>
      <c r="D97">
        <f t="shared" si="6"/>
        <v>0.67700591867985704</v>
      </c>
      <c r="E97">
        <f t="shared" si="7"/>
        <v>3.2945396294654579</v>
      </c>
      <c r="F97">
        <f t="shared" si="8"/>
        <v>3.275330366878189</v>
      </c>
      <c r="G97">
        <f t="shared" si="9"/>
        <v>3.6899576914664671E-4</v>
      </c>
    </row>
    <row r="98" spans="1:7" x14ac:dyDescent="0.2">
      <c r="A98">
        <v>116.5</v>
      </c>
      <c r="B98">
        <f t="shared" si="5"/>
        <v>11.65</v>
      </c>
      <c r="C98">
        <v>10.199999999999999</v>
      </c>
      <c r="D98">
        <f t="shared" si="6"/>
        <v>0.67700591867985704</v>
      </c>
      <c r="E98">
        <f t="shared" si="7"/>
        <v>3.2945396294654579</v>
      </c>
      <c r="F98">
        <f t="shared" si="8"/>
        <v>3.275330366878189</v>
      </c>
      <c r="G98">
        <f t="shared" si="9"/>
        <v>3.6899576914664671E-4</v>
      </c>
    </row>
    <row r="99" spans="1:7" x14ac:dyDescent="0.2">
      <c r="A99">
        <v>113.5</v>
      </c>
      <c r="B99">
        <f t="shared" si="5"/>
        <v>11.35</v>
      </c>
      <c r="C99">
        <v>10.1</v>
      </c>
      <c r="D99">
        <f t="shared" si="6"/>
        <v>0.67247795292039669</v>
      </c>
      <c r="E99">
        <f t="shared" si="7"/>
        <v>3.3079726755039931</v>
      </c>
      <c r="F99">
        <f t="shared" si="8"/>
        <v>3.3043656085872848</v>
      </c>
      <c r="G99">
        <f t="shared" si="9"/>
        <v>1.3010931741611612E-5</v>
      </c>
    </row>
    <row r="100" spans="1:7" x14ac:dyDescent="0.2">
      <c r="A100">
        <v>113.5</v>
      </c>
      <c r="B100">
        <f t="shared" si="5"/>
        <v>11.35</v>
      </c>
      <c r="C100">
        <v>10.1</v>
      </c>
      <c r="D100">
        <f t="shared" si="6"/>
        <v>0.67247795292039669</v>
      </c>
      <c r="E100">
        <f t="shared" si="7"/>
        <v>3.3079726755039931</v>
      </c>
      <c r="F100">
        <f t="shared" si="8"/>
        <v>3.3043656085872848</v>
      </c>
      <c r="G100">
        <f t="shared" si="9"/>
        <v>1.3010931741611612E-5</v>
      </c>
    </row>
    <row r="101" spans="1:7" x14ac:dyDescent="0.2">
      <c r="A101">
        <v>115</v>
      </c>
      <c r="B101">
        <f t="shared" si="5"/>
        <v>11.5</v>
      </c>
      <c r="C101">
        <v>10.1</v>
      </c>
      <c r="D101">
        <f t="shared" si="6"/>
        <v>0.67575946891313732</v>
      </c>
      <c r="E101">
        <f t="shared" si="7"/>
        <v>3.2748293639773132</v>
      </c>
      <c r="F101">
        <f t="shared" si="8"/>
        <v>3.2548314291743838</v>
      </c>
      <c r="G101">
        <f t="shared" si="9"/>
        <v>3.9991739638221211E-4</v>
      </c>
    </row>
    <row r="102" spans="1:7" x14ac:dyDescent="0.2">
      <c r="A102">
        <v>113.5</v>
      </c>
      <c r="B102">
        <f t="shared" si="5"/>
        <v>11.35</v>
      </c>
      <c r="C102">
        <v>10.1</v>
      </c>
      <c r="D102">
        <f t="shared" si="6"/>
        <v>0.67247795292039669</v>
      </c>
      <c r="E102">
        <f t="shared" si="7"/>
        <v>3.3079726755039931</v>
      </c>
      <c r="F102">
        <f t="shared" si="8"/>
        <v>3.3043656085872848</v>
      </c>
      <c r="G102">
        <f t="shared" si="9"/>
        <v>1.3010931741611612E-5</v>
      </c>
    </row>
    <row r="103" spans="1:7" x14ac:dyDescent="0.2">
      <c r="A103">
        <v>113.5</v>
      </c>
      <c r="B103">
        <f t="shared" si="5"/>
        <v>11.35</v>
      </c>
      <c r="C103">
        <v>10.1</v>
      </c>
      <c r="D103">
        <f t="shared" si="6"/>
        <v>0.67247795292039669</v>
      </c>
      <c r="E103">
        <f t="shared" si="7"/>
        <v>3.3079726755039931</v>
      </c>
      <c r="F103">
        <f t="shared" si="8"/>
        <v>3.3043656085872848</v>
      </c>
      <c r="G103">
        <f t="shared" si="9"/>
        <v>1.3010931741611612E-5</v>
      </c>
    </row>
    <row r="104" spans="1:7" x14ac:dyDescent="0.2">
      <c r="A104">
        <v>114.5</v>
      </c>
      <c r="B104">
        <f t="shared" si="5"/>
        <v>11.45</v>
      </c>
      <c r="C104">
        <v>10.1</v>
      </c>
      <c r="D104">
        <f t="shared" si="6"/>
        <v>0.67467161870697456</v>
      </c>
      <c r="E104">
        <f t="shared" si="7"/>
        <v>3.285816651059557</v>
      </c>
      <c r="F104">
        <f t="shared" si="8"/>
        <v>3.2711876870465137</v>
      </c>
      <c r="G104">
        <f t="shared" si="9"/>
        <v>2.1400658809491463E-4</v>
      </c>
    </row>
    <row r="105" spans="1:7" x14ac:dyDescent="0.2">
      <c r="A105">
        <v>112</v>
      </c>
      <c r="B105">
        <f t="shared" si="5"/>
        <v>11.2</v>
      </c>
      <c r="C105">
        <v>10</v>
      </c>
      <c r="D105">
        <f t="shared" si="6"/>
        <v>0.67117928408284133</v>
      </c>
      <c r="E105">
        <f t="shared" si="7"/>
        <v>3.2882071591715869</v>
      </c>
      <c r="F105">
        <f t="shared" si="8"/>
        <v>3.2842954980589099</v>
      </c>
      <c r="G105">
        <f t="shared" si="9"/>
        <v>1.530109266042982E-5</v>
      </c>
    </row>
    <row r="106" spans="1:7" x14ac:dyDescent="0.2">
      <c r="A106">
        <v>112.5</v>
      </c>
      <c r="B106">
        <f t="shared" si="5"/>
        <v>11.25</v>
      </c>
      <c r="C106">
        <v>10</v>
      </c>
      <c r="D106">
        <f t="shared" si="6"/>
        <v>0.67229196591012141</v>
      </c>
      <c r="E106">
        <f t="shared" si="7"/>
        <v>3.2770803408987859</v>
      </c>
      <c r="F106">
        <f t="shared" si="8"/>
        <v>3.2675089586420034</v>
      </c>
      <c r="G106">
        <f t="shared" si="9"/>
        <v>9.1611358305449832E-5</v>
      </c>
    </row>
    <row r="107" spans="1:7" x14ac:dyDescent="0.2">
      <c r="A107">
        <v>113</v>
      </c>
      <c r="B107">
        <f t="shared" si="5"/>
        <v>11.3</v>
      </c>
      <c r="C107">
        <v>10</v>
      </c>
      <c r="D107">
        <f t="shared" si="6"/>
        <v>0.67339843875566874</v>
      </c>
      <c r="E107">
        <f t="shared" si="7"/>
        <v>3.2660156124433124</v>
      </c>
      <c r="F107">
        <f t="shared" si="8"/>
        <v>3.2508818589507982</v>
      </c>
      <c r="G107">
        <f t="shared" si="9"/>
        <v>2.2903049477218646E-4</v>
      </c>
    </row>
    <row r="108" spans="1:7" x14ac:dyDescent="0.2">
      <c r="A108">
        <v>112</v>
      </c>
      <c r="B108">
        <f t="shared" si="5"/>
        <v>11.2</v>
      </c>
      <c r="C108">
        <v>10</v>
      </c>
      <c r="D108">
        <f t="shared" si="6"/>
        <v>0.67117928408284133</v>
      </c>
      <c r="E108">
        <f t="shared" si="7"/>
        <v>3.2882071591715869</v>
      </c>
      <c r="F108">
        <f t="shared" si="8"/>
        <v>3.2842954980589099</v>
      </c>
      <c r="G108">
        <f t="shared" si="9"/>
        <v>1.530109266042982E-5</v>
      </c>
    </row>
    <row r="109" spans="1:7" x14ac:dyDescent="0.2">
      <c r="A109">
        <v>111.5</v>
      </c>
      <c r="B109">
        <f t="shared" si="5"/>
        <v>11.15</v>
      </c>
      <c r="C109">
        <v>9.9</v>
      </c>
      <c r="D109">
        <f t="shared" si="6"/>
        <v>0.67211004962953247</v>
      </c>
      <c r="E109">
        <f t="shared" si="7"/>
        <v>3.2461105086676287</v>
      </c>
      <c r="F109">
        <f t="shared" si="8"/>
        <v>3.2306622743321078</v>
      </c>
      <c r="G109">
        <f t="shared" si="9"/>
        <v>2.3864794408516669E-4</v>
      </c>
    </row>
    <row r="110" spans="1:7" x14ac:dyDescent="0.2">
      <c r="A110">
        <v>111</v>
      </c>
      <c r="B110">
        <f t="shared" si="5"/>
        <v>11.1</v>
      </c>
      <c r="C110">
        <v>9.9</v>
      </c>
      <c r="D110">
        <f t="shared" si="6"/>
        <v>0.67099052526051306</v>
      </c>
      <c r="E110">
        <f t="shared" si="7"/>
        <v>3.2571937999209206</v>
      </c>
      <c r="F110">
        <f t="shared" si="8"/>
        <v>3.247409173119288</v>
      </c>
      <c r="G110">
        <f t="shared" si="9"/>
        <v>9.5738921647227243E-5</v>
      </c>
    </row>
    <row r="111" spans="1:7" x14ac:dyDescent="0.2">
      <c r="A111">
        <v>110</v>
      </c>
      <c r="B111">
        <f t="shared" si="5"/>
        <v>11</v>
      </c>
      <c r="C111">
        <v>9.9</v>
      </c>
      <c r="D111">
        <f t="shared" si="6"/>
        <v>0.66873222555495626</v>
      </c>
      <c r="E111">
        <f t="shared" si="7"/>
        <v>3.2795509670059331</v>
      </c>
      <c r="F111">
        <f t="shared" si="8"/>
        <v>3.281392763232915</v>
      </c>
      <c r="G111">
        <f t="shared" si="9"/>
        <v>3.3922133417247052E-6</v>
      </c>
    </row>
    <row r="112" spans="1:7" x14ac:dyDescent="0.2">
      <c r="A112">
        <v>110</v>
      </c>
      <c r="B112">
        <f t="shared" si="5"/>
        <v>11</v>
      </c>
      <c r="C112">
        <v>9.9</v>
      </c>
      <c r="D112">
        <f t="shared" si="6"/>
        <v>0.66873222555495626</v>
      </c>
      <c r="E112">
        <f t="shared" si="7"/>
        <v>3.2795509670059331</v>
      </c>
      <c r="F112">
        <f t="shared" si="8"/>
        <v>3.281392763232915</v>
      </c>
      <c r="G112">
        <f t="shared" si="9"/>
        <v>3.3922133417247052E-6</v>
      </c>
    </row>
    <row r="113" spans="1:7" x14ac:dyDescent="0.2">
      <c r="A113">
        <v>110.5</v>
      </c>
      <c r="B113">
        <f t="shared" si="5"/>
        <v>11.05</v>
      </c>
      <c r="C113">
        <v>9.9</v>
      </c>
      <c r="D113">
        <f t="shared" si="6"/>
        <v>0.66986460855099694</v>
      </c>
      <c r="E113">
        <f t="shared" si="7"/>
        <v>3.2683403753451303</v>
      </c>
      <c r="F113">
        <f t="shared" si="8"/>
        <v>3.2643186489665443</v>
      </c>
      <c r="G113">
        <f t="shared" si="9"/>
        <v>1.6174283064214454E-5</v>
      </c>
    </row>
    <row r="114" spans="1:7" x14ac:dyDescent="0.2">
      <c r="A114">
        <v>109</v>
      </c>
      <c r="B114">
        <f t="shared" si="5"/>
        <v>10.9</v>
      </c>
      <c r="C114">
        <v>9.8000000000000007</v>
      </c>
      <c r="D114">
        <f t="shared" si="6"/>
        <v>0.6685332674417459</v>
      </c>
      <c r="E114">
        <f t="shared" si="7"/>
        <v>3.2483739790708905</v>
      </c>
      <c r="F114">
        <f t="shared" si="8"/>
        <v>3.244438841470588</v>
      </c>
      <c r="G114">
        <f t="shared" si="9"/>
        <v>1.5485307933314578E-5</v>
      </c>
    </row>
    <row r="115" spans="1:7" x14ac:dyDescent="0.2">
      <c r="A115">
        <v>108.5</v>
      </c>
      <c r="B115">
        <f t="shared" si="5"/>
        <v>10.85</v>
      </c>
      <c r="C115">
        <v>9.8000000000000007</v>
      </c>
      <c r="D115">
        <f t="shared" si="6"/>
        <v>0.66738703406906053</v>
      </c>
      <c r="E115">
        <f t="shared" si="7"/>
        <v>3.2596070661232073</v>
      </c>
      <c r="F115">
        <f t="shared" si="8"/>
        <v>3.2616429280234005</v>
      </c>
      <c r="G115">
        <f t="shared" si="9"/>
        <v>4.1447336766583708E-6</v>
      </c>
    </row>
    <row r="116" spans="1:7" x14ac:dyDescent="0.2">
      <c r="A116">
        <v>108</v>
      </c>
      <c r="B116">
        <f t="shared" si="5"/>
        <v>10.8</v>
      </c>
      <c r="C116">
        <v>9.6999999999999993</v>
      </c>
      <c r="D116">
        <f t="shared" si="6"/>
        <v>0.66833823547051063</v>
      </c>
      <c r="E116">
        <f t="shared" si="7"/>
        <v>3.2171191159360468</v>
      </c>
      <c r="F116">
        <f t="shared" si="8"/>
        <v>3.2074933844550966</v>
      </c>
      <c r="G116">
        <f t="shared" si="9"/>
        <v>9.2654706543356696E-5</v>
      </c>
    </row>
    <row r="117" spans="1:7" x14ac:dyDescent="0.2">
      <c r="A117">
        <v>107.5</v>
      </c>
      <c r="B117">
        <f t="shared" si="5"/>
        <v>10.75</v>
      </c>
      <c r="C117">
        <v>9.6999999999999993</v>
      </c>
      <c r="D117">
        <f t="shared" si="6"/>
        <v>0.66718456664357662</v>
      </c>
      <c r="E117">
        <f t="shared" si="7"/>
        <v>3.2283097035573065</v>
      </c>
      <c r="F117">
        <f t="shared" si="8"/>
        <v>3.2246600609048315</v>
      </c>
      <c r="G117">
        <f t="shared" si="9"/>
        <v>1.331989149076495E-5</v>
      </c>
    </row>
    <row r="118" spans="1:7" x14ac:dyDescent="0.2">
      <c r="A118">
        <v>105</v>
      </c>
      <c r="B118">
        <f t="shared" si="5"/>
        <v>10.5</v>
      </c>
      <c r="C118">
        <v>9.6</v>
      </c>
      <c r="D118">
        <f t="shared" si="6"/>
        <v>0.66346000716250797</v>
      </c>
      <c r="E118">
        <f t="shared" si="7"/>
        <v>3.2307839312399236</v>
      </c>
      <c r="F118">
        <f t="shared" si="8"/>
        <v>3.2401162482647319</v>
      </c>
      <c r="G118">
        <f t="shared" si="9"/>
        <v>8.7092141051526862E-5</v>
      </c>
    </row>
    <row r="119" spans="1:7" x14ac:dyDescent="0.2">
      <c r="A119">
        <v>105</v>
      </c>
      <c r="B119">
        <f t="shared" si="5"/>
        <v>10.5</v>
      </c>
      <c r="C119">
        <v>9.6</v>
      </c>
      <c r="D119">
        <f t="shared" si="6"/>
        <v>0.66346000716250797</v>
      </c>
      <c r="E119">
        <f t="shared" si="7"/>
        <v>3.2307839312399236</v>
      </c>
      <c r="F119">
        <f t="shared" si="8"/>
        <v>3.2401162482647319</v>
      </c>
      <c r="G119">
        <f t="shared" si="9"/>
        <v>8.7092141051526862E-5</v>
      </c>
    </row>
    <row r="120" spans="1:7" x14ac:dyDescent="0.2">
      <c r="A120">
        <v>105</v>
      </c>
      <c r="B120">
        <f t="shared" si="5"/>
        <v>10.5</v>
      </c>
      <c r="C120">
        <v>9.6</v>
      </c>
      <c r="D120">
        <f t="shared" si="6"/>
        <v>0.66346000716250797</v>
      </c>
      <c r="E120">
        <f t="shared" si="7"/>
        <v>3.2307839312399236</v>
      </c>
      <c r="F120">
        <f t="shared" si="8"/>
        <v>3.2401162482647319</v>
      </c>
      <c r="G120">
        <f t="shared" si="9"/>
        <v>8.7092141051526862E-5</v>
      </c>
    </row>
    <row r="121" spans="1:7" x14ac:dyDescent="0.2">
      <c r="A121">
        <v>104</v>
      </c>
      <c r="B121">
        <f t="shared" si="5"/>
        <v>10.4</v>
      </c>
      <c r="C121">
        <v>9.5</v>
      </c>
      <c r="D121">
        <f t="shared" si="6"/>
        <v>0.6632415533602749</v>
      </c>
      <c r="E121">
        <f t="shared" si="7"/>
        <v>3.1992052430773885</v>
      </c>
      <c r="F121">
        <f t="shared" si="8"/>
        <v>3.2030414309572648</v>
      </c>
      <c r="G121">
        <f t="shared" si="9"/>
        <v>1.471633744970962E-5</v>
      </c>
    </row>
    <row r="122" spans="1:7" x14ac:dyDescent="0.2">
      <c r="A122">
        <v>104</v>
      </c>
      <c r="B122">
        <f t="shared" si="5"/>
        <v>10.4</v>
      </c>
      <c r="C122">
        <v>9.5</v>
      </c>
      <c r="D122">
        <f t="shared" si="6"/>
        <v>0.6632415533602749</v>
      </c>
      <c r="E122">
        <f t="shared" si="7"/>
        <v>3.1992052430773885</v>
      </c>
      <c r="F122">
        <f t="shared" si="8"/>
        <v>3.2030414309572648</v>
      </c>
      <c r="G122">
        <f t="shared" si="9"/>
        <v>1.471633744970962E-5</v>
      </c>
    </row>
    <row r="123" spans="1:7" x14ac:dyDescent="0.2">
      <c r="A123">
        <v>103.5</v>
      </c>
      <c r="B123">
        <f t="shared" si="5"/>
        <v>10.35</v>
      </c>
      <c r="C123">
        <v>9.5</v>
      </c>
      <c r="D123">
        <f t="shared" si="6"/>
        <v>0.66204360006905449</v>
      </c>
      <c r="E123">
        <f t="shared" si="7"/>
        <v>3.2105857993439821</v>
      </c>
      <c r="F123">
        <f t="shared" si="8"/>
        <v>3.2208412615352078</v>
      </c>
      <c r="G123">
        <f t="shared" si="9"/>
        <v>1.051745047556586E-4</v>
      </c>
    </row>
    <row r="124" spans="1:7" x14ac:dyDescent="0.2">
      <c r="A124">
        <v>103.5</v>
      </c>
      <c r="B124">
        <f t="shared" si="5"/>
        <v>10.35</v>
      </c>
      <c r="C124">
        <v>9.5</v>
      </c>
      <c r="D124">
        <f t="shared" si="6"/>
        <v>0.66204360006905449</v>
      </c>
      <c r="E124">
        <f t="shared" si="7"/>
        <v>3.2105857993439821</v>
      </c>
      <c r="F124">
        <f t="shared" si="8"/>
        <v>3.2208412615352078</v>
      </c>
      <c r="G124">
        <f t="shared" si="9"/>
        <v>1.051745047556586E-4</v>
      </c>
    </row>
    <row r="125" spans="1:7" x14ac:dyDescent="0.2">
      <c r="A125">
        <v>104.5</v>
      </c>
      <c r="B125">
        <f t="shared" si="5"/>
        <v>10.45</v>
      </c>
      <c r="C125">
        <v>9.5</v>
      </c>
      <c r="D125">
        <f t="shared" si="6"/>
        <v>0.66443211887454379</v>
      </c>
      <c r="E125">
        <f t="shared" si="7"/>
        <v>3.1878948706918342</v>
      </c>
      <c r="F125">
        <f t="shared" si="8"/>
        <v>3.1854226327433208</v>
      </c>
      <c r="G125">
        <f t="shared" si="9"/>
        <v>6.1119604740695826E-6</v>
      </c>
    </row>
    <row r="126" spans="1:7" x14ac:dyDescent="0.2">
      <c r="A126">
        <v>104</v>
      </c>
      <c r="B126">
        <f t="shared" si="5"/>
        <v>10.4</v>
      </c>
      <c r="C126">
        <v>9.5</v>
      </c>
      <c r="D126">
        <f t="shared" si="6"/>
        <v>0.6632415533602749</v>
      </c>
      <c r="E126">
        <f t="shared" si="7"/>
        <v>3.1992052430773885</v>
      </c>
      <c r="F126">
        <f t="shared" si="8"/>
        <v>3.2030414309572648</v>
      </c>
      <c r="G126">
        <f t="shared" si="9"/>
        <v>1.471633744970962E-5</v>
      </c>
    </row>
    <row r="127" spans="1:7" x14ac:dyDescent="0.2">
      <c r="A127">
        <v>104.5</v>
      </c>
      <c r="B127">
        <f t="shared" si="5"/>
        <v>10.45</v>
      </c>
      <c r="C127">
        <v>9.5</v>
      </c>
      <c r="D127">
        <f t="shared" si="6"/>
        <v>0.66443211887454379</v>
      </c>
      <c r="E127">
        <f t="shared" si="7"/>
        <v>3.1878948706918342</v>
      </c>
      <c r="F127">
        <f t="shared" si="8"/>
        <v>3.1854226327433208</v>
      </c>
      <c r="G127">
        <f t="shared" si="9"/>
        <v>6.1119604740695826E-6</v>
      </c>
    </row>
    <row r="128" spans="1:7" x14ac:dyDescent="0.2">
      <c r="A128">
        <v>102.5</v>
      </c>
      <c r="B128">
        <f t="shared" si="5"/>
        <v>10.25</v>
      </c>
      <c r="C128">
        <v>9.4</v>
      </c>
      <c r="D128">
        <f t="shared" si="6"/>
        <v>0.66182043983371441</v>
      </c>
      <c r="E128">
        <f t="shared" si="7"/>
        <v>3.1788878655630848</v>
      </c>
      <c r="F128">
        <f t="shared" si="8"/>
        <v>3.1837390614176408</v>
      </c>
      <c r="G128">
        <f t="shared" si="9"/>
        <v>2.3534101219261975E-5</v>
      </c>
    </row>
    <row r="129" spans="1:7" x14ac:dyDescent="0.2">
      <c r="A129">
        <v>100.5</v>
      </c>
      <c r="B129">
        <f t="shared" si="5"/>
        <v>10.050000000000001</v>
      </c>
      <c r="C129">
        <v>9.3000000000000007</v>
      </c>
      <c r="D129">
        <f t="shared" si="6"/>
        <v>0.65914770511839105</v>
      </c>
      <c r="E129">
        <f t="shared" si="7"/>
        <v>3.1699263423989636</v>
      </c>
      <c r="F129">
        <f t="shared" si="8"/>
        <v>3.1826677554228171</v>
      </c>
      <c r="G129">
        <f t="shared" si="9"/>
        <v>1.6234360584442241E-4</v>
      </c>
    </row>
    <row r="130" spans="1:7" x14ac:dyDescent="0.2">
      <c r="A130">
        <v>101.5</v>
      </c>
      <c r="B130">
        <f t="shared" ref="B130:B193" si="10">A130/10</f>
        <v>10.15</v>
      </c>
      <c r="C130">
        <v>9.3000000000000007</v>
      </c>
      <c r="D130">
        <f t="shared" ref="D130:D193" si="11">EXP(-ABS((-1.8796+0.34056*(C130/B130)-0.0061*B130+0.8262*LN($C$206))))</f>
        <v>0.66160091201210747</v>
      </c>
      <c r="E130">
        <f t="shared" ref="E130:E193" si="12">C130*(1-D130)</f>
        <v>3.1471115182874008</v>
      </c>
      <c r="F130">
        <f t="shared" ref="F130:F193" si="13">C130*(1-EXP(-($J$1+$J$2*(C130/B130))*($J$1+$J$2*(C130/B130))))</f>
        <v>3.1466429110723837</v>
      </c>
      <c r="G130">
        <f t="shared" ref="G130:G193" si="14">(E130-F130)^2</f>
        <v>2.1959272196605399E-7</v>
      </c>
    </row>
    <row r="131" spans="1:7" x14ac:dyDescent="0.2">
      <c r="A131">
        <v>99.5</v>
      </c>
      <c r="B131">
        <f t="shared" si="10"/>
        <v>9.9499999999999993</v>
      </c>
      <c r="C131">
        <v>9.1999999999999993</v>
      </c>
      <c r="D131">
        <f t="shared" si="11"/>
        <v>0.65891403016413774</v>
      </c>
      <c r="E131">
        <f t="shared" si="12"/>
        <v>3.1379909224899327</v>
      </c>
      <c r="F131">
        <f t="shared" si="13"/>
        <v>3.1455121830728485</v>
      </c>
      <c r="G131">
        <f t="shared" si="14"/>
        <v>5.6569360756122932E-5</v>
      </c>
    </row>
    <row r="132" spans="1:7" x14ac:dyDescent="0.2">
      <c r="A132">
        <v>98.5</v>
      </c>
      <c r="B132">
        <f t="shared" si="10"/>
        <v>9.85</v>
      </c>
      <c r="C132">
        <v>9.1</v>
      </c>
      <c r="D132">
        <f t="shared" si="11"/>
        <v>0.65868385418823905</v>
      </c>
      <c r="E132">
        <f t="shared" si="12"/>
        <v>3.1059769268870245</v>
      </c>
      <c r="F132">
        <f t="shared" si="13"/>
        <v>3.1083617487052324</v>
      </c>
      <c r="G132">
        <f t="shared" si="14"/>
        <v>5.6873751046002993E-6</v>
      </c>
    </row>
    <row r="133" spans="1:7" x14ac:dyDescent="0.2">
      <c r="A133">
        <v>98.5</v>
      </c>
      <c r="B133">
        <f t="shared" si="10"/>
        <v>9.85</v>
      </c>
      <c r="C133">
        <v>9.1</v>
      </c>
      <c r="D133">
        <f t="shared" si="11"/>
        <v>0.65868385418823905</v>
      </c>
      <c r="E133">
        <f t="shared" si="12"/>
        <v>3.1059769268870245</v>
      </c>
      <c r="F133">
        <f t="shared" si="13"/>
        <v>3.1083617487052324</v>
      </c>
      <c r="G133">
        <f t="shared" si="14"/>
        <v>5.6873751046002993E-6</v>
      </c>
    </row>
    <row r="134" spans="1:7" x14ac:dyDescent="0.2">
      <c r="A134">
        <v>97.5</v>
      </c>
      <c r="B134">
        <f t="shared" si="10"/>
        <v>9.75</v>
      </c>
      <c r="C134">
        <v>9.1</v>
      </c>
      <c r="D134">
        <f t="shared" si="11"/>
        <v>0.65616135011872367</v>
      </c>
      <c r="E134">
        <f t="shared" si="12"/>
        <v>3.1289317139196147</v>
      </c>
      <c r="F134">
        <f t="shared" si="13"/>
        <v>3.1450338268827371</v>
      </c>
      <c r="G134">
        <f t="shared" si="14"/>
        <v>2.5927804187715679E-4</v>
      </c>
    </row>
    <row r="135" spans="1:7" x14ac:dyDescent="0.2">
      <c r="A135">
        <v>98</v>
      </c>
      <c r="B135">
        <f t="shared" si="10"/>
        <v>9.8000000000000007</v>
      </c>
      <c r="C135">
        <v>9.1</v>
      </c>
      <c r="D135">
        <f t="shared" si="11"/>
        <v>0.65742680425854438</v>
      </c>
      <c r="E135">
        <f t="shared" si="12"/>
        <v>3.1174160812472458</v>
      </c>
      <c r="F135">
        <f t="shared" si="13"/>
        <v>3.1265989532168943</v>
      </c>
      <c r="G135">
        <f t="shared" si="14"/>
        <v>8.4325137610956298E-5</v>
      </c>
    </row>
    <row r="136" spans="1:7" x14ac:dyDescent="0.2">
      <c r="A136">
        <v>97</v>
      </c>
      <c r="B136">
        <f t="shared" si="10"/>
        <v>9.6999999999999993</v>
      </c>
      <c r="C136">
        <v>9</v>
      </c>
      <c r="D136">
        <f t="shared" si="11"/>
        <v>0.65719068618148602</v>
      </c>
      <c r="E136">
        <f t="shared" si="12"/>
        <v>3.0852838243666261</v>
      </c>
      <c r="F136">
        <f t="shared" si="13"/>
        <v>3.0894222277695595</v>
      </c>
      <c r="G136">
        <f t="shared" si="14"/>
        <v>1.7126382725411383E-5</v>
      </c>
    </row>
    <row r="137" spans="1:7" x14ac:dyDescent="0.2">
      <c r="A137">
        <v>96.5</v>
      </c>
      <c r="B137">
        <f t="shared" si="10"/>
        <v>9.65</v>
      </c>
      <c r="C137">
        <v>9</v>
      </c>
      <c r="D137">
        <f t="shared" si="11"/>
        <v>0.6559155158648603</v>
      </c>
      <c r="E137">
        <f t="shared" si="12"/>
        <v>3.0967603572162572</v>
      </c>
      <c r="F137">
        <f t="shared" si="13"/>
        <v>3.1078272783581675</v>
      </c>
      <c r="G137">
        <f t="shared" si="14"/>
        <v>1.2247674356126171E-4</v>
      </c>
    </row>
    <row r="138" spans="1:7" x14ac:dyDescent="0.2">
      <c r="A138">
        <v>96.5</v>
      </c>
      <c r="B138">
        <f t="shared" si="10"/>
        <v>9.65</v>
      </c>
      <c r="C138">
        <v>9</v>
      </c>
      <c r="D138">
        <f t="shared" si="11"/>
        <v>0.6559155158648603</v>
      </c>
      <c r="E138">
        <f t="shared" si="12"/>
        <v>3.0967603572162572</v>
      </c>
      <c r="F138">
        <f t="shared" si="13"/>
        <v>3.1078272783581675</v>
      </c>
      <c r="G138">
        <f t="shared" si="14"/>
        <v>1.2247674356126171E-4</v>
      </c>
    </row>
    <row r="139" spans="1:7" x14ac:dyDescent="0.2">
      <c r="A139">
        <v>95</v>
      </c>
      <c r="B139">
        <f t="shared" si="10"/>
        <v>9.5</v>
      </c>
      <c r="C139">
        <v>8.9</v>
      </c>
      <c r="D139">
        <f t="shared" si="11"/>
        <v>0.65437905076023783</v>
      </c>
      <c r="E139">
        <f t="shared" si="12"/>
        <v>3.0760264482338835</v>
      </c>
      <c r="F139">
        <f t="shared" si="13"/>
        <v>3.089203680191281</v>
      </c>
      <c r="G139">
        <f t="shared" si="14"/>
        <v>1.736394420590581E-4</v>
      </c>
    </row>
    <row r="140" spans="1:7" x14ac:dyDescent="0.2">
      <c r="A140">
        <v>95.5</v>
      </c>
      <c r="B140">
        <f t="shared" si="10"/>
        <v>9.5500000000000007</v>
      </c>
      <c r="C140">
        <v>8.9</v>
      </c>
      <c r="D140">
        <f t="shared" si="11"/>
        <v>0.65567300434928499</v>
      </c>
      <c r="E140">
        <f t="shared" si="12"/>
        <v>3.0645102612913635</v>
      </c>
      <c r="F140">
        <f t="shared" si="13"/>
        <v>3.070624950112105</v>
      </c>
      <c r="G140">
        <f t="shared" si="14"/>
        <v>3.7389419374501195E-5</v>
      </c>
    </row>
    <row r="141" spans="1:7" x14ac:dyDescent="0.2">
      <c r="A141">
        <v>95</v>
      </c>
      <c r="B141">
        <f t="shared" si="10"/>
        <v>9.5</v>
      </c>
      <c r="C141">
        <v>8.9</v>
      </c>
      <c r="D141">
        <f t="shared" si="11"/>
        <v>0.65437905076023783</v>
      </c>
      <c r="E141">
        <f t="shared" si="12"/>
        <v>3.0760264482338835</v>
      </c>
      <c r="F141">
        <f t="shared" si="13"/>
        <v>3.089203680191281</v>
      </c>
      <c r="G141">
        <f t="shared" si="14"/>
        <v>1.736394420590581E-4</v>
      </c>
    </row>
    <row r="142" spans="1:7" x14ac:dyDescent="0.2">
      <c r="A142">
        <v>95.5</v>
      </c>
      <c r="B142">
        <f t="shared" si="10"/>
        <v>9.5500000000000007</v>
      </c>
      <c r="C142">
        <v>8.9</v>
      </c>
      <c r="D142">
        <f t="shared" si="11"/>
        <v>0.65567300434928499</v>
      </c>
      <c r="E142">
        <f t="shared" si="12"/>
        <v>3.0645102612913635</v>
      </c>
      <c r="F142">
        <f t="shared" si="13"/>
        <v>3.070624950112105</v>
      </c>
      <c r="G142">
        <f t="shared" si="14"/>
        <v>3.7389419374501195E-5</v>
      </c>
    </row>
    <row r="143" spans="1:7" x14ac:dyDescent="0.2">
      <c r="A143">
        <v>94.5</v>
      </c>
      <c r="B143">
        <f t="shared" si="10"/>
        <v>9.4499999999999993</v>
      </c>
      <c r="C143">
        <v>8.9</v>
      </c>
      <c r="D143">
        <f t="shared" si="11"/>
        <v>0.65307610659066162</v>
      </c>
      <c r="E143">
        <f t="shared" si="12"/>
        <v>3.0876226513431115</v>
      </c>
      <c r="F143">
        <f t="shared" si="13"/>
        <v>3.107989442304643</v>
      </c>
      <c r="G143">
        <f t="shared" si="14"/>
        <v>4.1480617407072077E-4</v>
      </c>
    </row>
    <row r="144" spans="1:7" x14ac:dyDescent="0.2">
      <c r="A144">
        <v>94.5</v>
      </c>
      <c r="B144">
        <f t="shared" si="10"/>
        <v>9.4499999999999993</v>
      </c>
      <c r="C144">
        <v>8.9</v>
      </c>
      <c r="D144">
        <f t="shared" si="11"/>
        <v>0.65307610659066162</v>
      </c>
      <c r="E144">
        <f t="shared" si="12"/>
        <v>3.0876226513431115</v>
      </c>
      <c r="F144">
        <f t="shared" si="13"/>
        <v>3.107989442304643</v>
      </c>
      <c r="G144">
        <f t="shared" si="14"/>
        <v>4.1480617407072077E-4</v>
      </c>
    </row>
    <row r="145" spans="1:7" x14ac:dyDescent="0.2">
      <c r="A145">
        <v>94.5</v>
      </c>
      <c r="B145">
        <f t="shared" si="10"/>
        <v>9.4499999999999993</v>
      </c>
      <c r="C145">
        <v>8.9</v>
      </c>
      <c r="D145">
        <f t="shared" si="11"/>
        <v>0.65307610659066162</v>
      </c>
      <c r="E145">
        <f t="shared" si="12"/>
        <v>3.0876226513431115</v>
      </c>
      <c r="F145">
        <f t="shared" si="13"/>
        <v>3.107989442304643</v>
      </c>
      <c r="G145">
        <f t="shared" si="14"/>
        <v>4.1480617407072077E-4</v>
      </c>
    </row>
    <row r="146" spans="1:7" x14ac:dyDescent="0.2">
      <c r="A146">
        <v>94.5</v>
      </c>
      <c r="B146">
        <f t="shared" si="10"/>
        <v>9.4499999999999993</v>
      </c>
      <c r="C146">
        <v>8.9</v>
      </c>
      <c r="D146">
        <f t="shared" si="11"/>
        <v>0.65307610659066162</v>
      </c>
      <c r="E146">
        <f t="shared" si="12"/>
        <v>3.0876226513431115</v>
      </c>
      <c r="F146">
        <f t="shared" si="13"/>
        <v>3.107989442304643</v>
      </c>
      <c r="G146">
        <f t="shared" si="14"/>
        <v>4.1480617407072077E-4</v>
      </c>
    </row>
    <row r="147" spans="1:7" x14ac:dyDescent="0.2">
      <c r="A147">
        <v>93.5</v>
      </c>
      <c r="B147">
        <f t="shared" si="10"/>
        <v>9.35</v>
      </c>
      <c r="C147">
        <v>8.8000000000000007</v>
      </c>
      <c r="D147">
        <f t="shared" si="11"/>
        <v>0.65281622670384321</v>
      </c>
      <c r="E147">
        <f t="shared" si="12"/>
        <v>3.0552172050061799</v>
      </c>
      <c r="F147">
        <f t="shared" si="13"/>
        <v>3.0707350820788877</v>
      </c>
      <c r="G147">
        <f t="shared" si="14"/>
        <v>2.4080450884367033E-4</v>
      </c>
    </row>
    <row r="148" spans="1:7" x14ac:dyDescent="0.2">
      <c r="A148">
        <v>92</v>
      </c>
      <c r="B148">
        <f t="shared" si="10"/>
        <v>9.1999999999999993</v>
      </c>
      <c r="C148">
        <v>8.6999999999999993</v>
      </c>
      <c r="D148">
        <f t="shared" si="11"/>
        <v>0.65122578816828891</v>
      </c>
      <c r="E148">
        <f t="shared" si="12"/>
        <v>3.0343356429358863</v>
      </c>
      <c r="F148">
        <f t="shared" si="13"/>
        <v>3.0524288400173623</v>
      </c>
      <c r="G148">
        <f t="shared" si="14"/>
        <v>3.2736378062912954E-4</v>
      </c>
    </row>
    <row r="149" spans="1:7" x14ac:dyDescent="0.2">
      <c r="A149">
        <v>90.5</v>
      </c>
      <c r="B149">
        <f t="shared" si="10"/>
        <v>9.0500000000000007</v>
      </c>
      <c r="C149">
        <v>8.6</v>
      </c>
      <c r="D149">
        <f t="shared" si="11"/>
        <v>0.64960640057414631</v>
      </c>
      <c r="E149">
        <f t="shared" si="12"/>
        <v>3.0133849550623415</v>
      </c>
      <c r="F149">
        <f t="shared" si="13"/>
        <v>3.0342927764655578</v>
      </c>
      <c r="G149">
        <f t="shared" si="14"/>
        <v>4.3713699582879136E-4</v>
      </c>
    </row>
    <row r="150" spans="1:7" x14ac:dyDescent="0.2">
      <c r="A150">
        <v>90</v>
      </c>
      <c r="B150">
        <f t="shared" si="10"/>
        <v>9</v>
      </c>
      <c r="C150">
        <v>8.6</v>
      </c>
      <c r="D150">
        <f t="shared" si="11"/>
        <v>0.64824176392509902</v>
      </c>
      <c r="E150">
        <f t="shared" si="12"/>
        <v>3.0251208302441484</v>
      </c>
      <c r="F150">
        <f t="shared" si="13"/>
        <v>3.0536532565041554</v>
      </c>
      <c r="G150">
        <f t="shared" si="14"/>
        <v>8.1409934828274107E-4</v>
      </c>
    </row>
    <row r="151" spans="1:7" x14ac:dyDescent="0.2">
      <c r="A151">
        <v>91</v>
      </c>
      <c r="B151">
        <f t="shared" si="10"/>
        <v>9.1</v>
      </c>
      <c r="C151">
        <v>8.6</v>
      </c>
      <c r="D151">
        <f t="shared" si="11"/>
        <v>0.65096104854851278</v>
      </c>
      <c r="E151">
        <f t="shared" si="12"/>
        <v>3.0017349824827901</v>
      </c>
      <c r="F151">
        <f t="shared" si="13"/>
        <v>3.0151549157561033</v>
      </c>
      <c r="G151">
        <f t="shared" si="14"/>
        <v>1.8009460906017727E-4</v>
      </c>
    </row>
    <row r="152" spans="1:7" x14ac:dyDescent="0.2">
      <c r="A152">
        <v>89.5</v>
      </c>
      <c r="B152">
        <f t="shared" si="10"/>
        <v>8.9499999999999993</v>
      </c>
      <c r="C152">
        <v>8.5</v>
      </c>
      <c r="D152">
        <f t="shared" si="11"/>
        <v>0.64933310749838002</v>
      </c>
      <c r="E152">
        <f t="shared" si="12"/>
        <v>2.9806685862637696</v>
      </c>
      <c r="F152">
        <f t="shared" si="13"/>
        <v>2.9969971443792223</v>
      </c>
      <c r="G152">
        <f t="shared" si="14"/>
        <v>2.6662181012971427E-4</v>
      </c>
    </row>
    <row r="153" spans="1:7" x14ac:dyDescent="0.2">
      <c r="A153">
        <v>89</v>
      </c>
      <c r="B153">
        <f t="shared" si="10"/>
        <v>8.9</v>
      </c>
      <c r="C153">
        <v>8.5</v>
      </c>
      <c r="D153">
        <f t="shared" si="11"/>
        <v>0.64795664397204134</v>
      </c>
      <c r="E153">
        <f t="shared" si="12"/>
        <v>2.9923685262376485</v>
      </c>
      <c r="F153">
        <f t="shared" si="13"/>
        <v>3.0163352173444138</v>
      </c>
      <c r="G153">
        <f t="shared" si="14"/>
        <v>5.7440228260710309E-4</v>
      </c>
    </row>
    <row r="154" spans="1:7" x14ac:dyDescent="0.2">
      <c r="A154">
        <v>89</v>
      </c>
      <c r="B154">
        <f t="shared" si="10"/>
        <v>8.9</v>
      </c>
      <c r="C154">
        <v>8.5</v>
      </c>
      <c r="D154">
        <f t="shared" si="11"/>
        <v>0.64795664397204134</v>
      </c>
      <c r="E154">
        <f t="shared" si="12"/>
        <v>2.9923685262376485</v>
      </c>
      <c r="F154">
        <f t="shared" si="13"/>
        <v>3.0163352173444138</v>
      </c>
      <c r="G154">
        <f t="shared" si="14"/>
        <v>5.7440228260710309E-4</v>
      </c>
    </row>
    <row r="155" spans="1:7" x14ac:dyDescent="0.2">
      <c r="A155">
        <v>88</v>
      </c>
      <c r="B155">
        <f t="shared" si="10"/>
        <v>8.8000000000000007</v>
      </c>
      <c r="C155">
        <v>8.4</v>
      </c>
      <c r="D155">
        <f t="shared" si="11"/>
        <v>0.64767415278987561</v>
      </c>
      <c r="E155">
        <f t="shared" si="12"/>
        <v>2.9595371165650448</v>
      </c>
      <c r="F155">
        <f t="shared" si="13"/>
        <v>2.9790192005073597</v>
      </c>
      <c r="G155">
        <f t="shared" si="14"/>
        <v>3.7955159473540312E-4</v>
      </c>
    </row>
    <row r="156" spans="1:7" x14ac:dyDescent="0.2">
      <c r="A156">
        <v>88.5</v>
      </c>
      <c r="B156">
        <f t="shared" si="10"/>
        <v>8.85</v>
      </c>
      <c r="C156">
        <v>8.4</v>
      </c>
      <c r="D156">
        <f t="shared" si="11"/>
        <v>0.64906270467971572</v>
      </c>
      <c r="E156">
        <f t="shared" si="12"/>
        <v>2.9478732806903882</v>
      </c>
      <c r="F156">
        <f t="shared" si="13"/>
        <v>2.9597040337759317</v>
      </c>
      <c r="G156">
        <f t="shared" si="14"/>
        <v>1.3996671857109677E-4</v>
      </c>
    </row>
    <row r="157" spans="1:7" x14ac:dyDescent="0.2">
      <c r="A157">
        <v>87.5</v>
      </c>
      <c r="B157">
        <f t="shared" si="10"/>
        <v>8.75</v>
      </c>
      <c r="C157">
        <v>8.4</v>
      </c>
      <c r="D157">
        <f t="shared" si="11"/>
        <v>0.64627500610965605</v>
      </c>
      <c r="E157">
        <f t="shared" si="12"/>
        <v>2.9712899486788893</v>
      </c>
      <c r="F157">
        <f t="shared" si="13"/>
        <v>2.9985650325526976</v>
      </c>
      <c r="G157">
        <f t="shared" si="14"/>
        <v>7.4393020032327659E-4</v>
      </c>
    </row>
    <row r="158" spans="1:7" x14ac:dyDescent="0.2">
      <c r="A158">
        <v>88.5</v>
      </c>
      <c r="B158">
        <f t="shared" si="10"/>
        <v>8.85</v>
      </c>
      <c r="C158">
        <v>8.4</v>
      </c>
      <c r="D158">
        <f t="shared" si="11"/>
        <v>0.64906270467971572</v>
      </c>
      <c r="E158">
        <f t="shared" si="12"/>
        <v>2.9478732806903882</v>
      </c>
      <c r="F158">
        <f t="shared" si="13"/>
        <v>2.9597040337759317</v>
      </c>
      <c r="G158">
        <f t="shared" si="14"/>
        <v>1.3996671857109677E-4</v>
      </c>
    </row>
    <row r="159" spans="1:7" x14ac:dyDescent="0.2">
      <c r="A159">
        <v>87.5</v>
      </c>
      <c r="B159">
        <f t="shared" si="10"/>
        <v>8.75</v>
      </c>
      <c r="C159">
        <v>8.4</v>
      </c>
      <c r="D159">
        <f t="shared" si="11"/>
        <v>0.64627500610965605</v>
      </c>
      <c r="E159">
        <f t="shared" si="12"/>
        <v>2.9712899486788893</v>
      </c>
      <c r="F159">
        <f t="shared" si="13"/>
        <v>2.9985650325526976</v>
      </c>
      <c r="G159">
        <f t="shared" si="14"/>
        <v>7.4393020032327659E-4</v>
      </c>
    </row>
    <row r="160" spans="1:7" x14ac:dyDescent="0.2">
      <c r="A160">
        <v>88</v>
      </c>
      <c r="B160">
        <f t="shared" si="10"/>
        <v>8.8000000000000007</v>
      </c>
      <c r="C160">
        <v>8.4</v>
      </c>
      <c r="D160">
        <f t="shared" si="11"/>
        <v>0.64767415278987561</v>
      </c>
      <c r="E160">
        <f t="shared" si="12"/>
        <v>2.9595371165650448</v>
      </c>
      <c r="F160">
        <f t="shared" si="13"/>
        <v>2.9790192005073597</v>
      </c>
      <c r="G160">
        <f t="shared" si="14"/>
        <v>3.7955159473540312E-4</v>
      </c>
    </row>
    <row r="161" spans="1:7" x14ac:dyDescent="0.2">
      <c r="A161">
        <v>87.5</v>
      </c>
      <c r="B161">
        <f t="shared" si="10"/>
        <v>8.75</v>
      </c>
      <c r="C161">
        <v>8.4</v>
      </c>
      <c r="D161">
        <f t="shared" si="11"/>
        <v>0.64627500610965605</v>
      </c>
      <c r="E161">
        <f t="shared" si="12"/>
        <v>2.9712899486788893</v>
      </c>
      <c r="F161">
        <f t="shared" si="13"/>
        <v>2.9985650325526976</v>
      </c>
      <c r="G161">
        <f t="shared" si="14"/>
        <v>7.4393020032327659E-4</v>
      </c>
    </row>
    <row r="162" spans="1:7" x14ac:dyDescent="0.2">
      <c r="A162">
        <v>88.5</v>
      </c>
      <c r="B162">
        <f t="shared" si="10"/>
        <v>8.85</v>
      </c>
      <c r="C162">
        <v>8.4</v>
      </c>
      <c r="D162">
        <f t="shared" si="11"/>
        <v>0.64906270467971572</v>
      </c>
      <c r="E162">
        <f t="shared" si="12"/>
        <v>2.9478732806903882</v>
      </c>
      <c r="F162">
        <f t="shared" si="13"/>
        <v>2.9597040337759317</v>
      </c>
      <c r="G162">
        <f t="shared" si="14"/>
        <v>1.3996671857109677E-4</v>
      </c>
    </row>
    <row r="163" spans="1:7" x14ac:dyDescent="0.2">
      <c r="A163">
        <v>86.5</v>
      </c>
      <c r="B163">
        <f t="shared" si="10"/>
        <v>8.65</v>
      </c>
      <c r="C163">
        <v>8.3000000000000007</v>
      </c>
      <c r="D163">
        <f t="shared" si="11"/>
        <v>0.64598262274202634</v>
      </c>
      <c r="E163">
        <f t="shared" si="12"/>
        <v>2.9383442312411816</v>
      </c>
      <c r="F163">
        <f t="shared" si="13"/>
        <v>2.9612301245042385</v>
      </c>
      <c r="G163">
        <f t="shared" si="14"/>
        <v>5.2376411044803323E-4</v>
      </c>
    </row>
    <row r="164" spans="1:7" x14ac:dyDescent="0.2">
      <c r="A164">
        <v>86.5</v>
      </c>
      <c r="B164">
        <f t="shared" si="10"/>
        <v>8.65</v>
      </c>
      <c r="C164">
        <v>8.3000000000000007</v>
      </c>
      <c r="D164">
        <f t="shared" si="11"/>
        <v>0.64598262274202634</v>
      </c>
      <c r="E164">
        <f t="shared" si="12"/>
        <v>2.9383442312411816</v>
      </c>
      <c r="F164">
        <f t="shared" si="13"/>
        <v>2.9612301245042385</v>
      </c>
      <c r="G164">
        <f t="shared" si="14"/>
        <v>5.2376411044803323E-4</v>
      </c>
    </row>
    <row r="165" spans="1:7" x14ac:dyDescent="0.2">
      <c r="A165">
        <v>85.5</v>
      </c>
      <c r="B165">
        <f t="shared" si="10"/>
        <v>8.5500000000000007</v>
      </c>
      <c r="C165">
        <v>8.1999999999999993</v>
      </c>
      <c r="D165">
        <f t="shared" si="11"/>
        <v>0.64569275028042261</v>
      </c>
      <c r="E165">
        <f t="shared" si="12"/>
        <v>2.9053194477005344</v>
      </c>
      <c r="F165">
        <f t="shared" si="13"/>
        <v>2.9238969002974677</v>
      </c>
      <c r="G165">
        <f t="shared" si="14"/>
        <v>3.4512174499130497E-4</v>
      </c>
    </row>
    <row r="166" spans="1:7" x14ac:dyDescent="0.2">
      <c r="A166">
        <v>83.5</v>
      </c>
      <c r="B166">
        <f t="shared" si="10"/>
        <v>8.35</v>
      </c>
      <c r="C166">
        <v>8.1</v>
      </c>
      <c r="D166">
        <f t="shared" si="11"/>
        <v>0.64249505897801729</v>
      </c>
      <c r="E166">
        <f t="shared" si="12"/>
        <v>2.8957900222780597</v>
      </c>
      <c r="F166">
        <f t="shared" si="13"/>
        <v>2.926257822882707</v>
      </c>
      <c r="G166">
        <f t="shared" si="14"/>
        <v>9.2828687368454426E-4</v>
      </c>
    </row>
    <row r="167" spans="1:7" x14ac:dyDescent="0.2">
      <c r="A167">
        <v>83.5</v>
      </c>
      <c r="B167">
        <f t="shared" si="10"/>
        <v>8.35</v>
      </c>
      <c r="C167">
        <v>8.1</v>
      </c>
      <c r="D167">
        <f t="shared" si="11"/>
        <v>0.64249505897801729</v>
      </c>
      <c r="E167">
        <f t="shared" si="12"/>
        <v>2.8957900222780597</v>
      </c>
      <c r="F167">
        <f t="shared" si="13"/>
        <v>2.926257822882707</v>
      </c>
      <c r="G167">
        <f t="shared" si="14"/>
        <v>9.2828687368454426E-4</v>
      </c>
    </row>
    <row r="168" spans="1:7" x14ac:dyDescent="0.2">
      <c r="A168">
        <v>84</v>
      </c>
      <c r="B168">
        <f t="shared" si="10"/>
        <v>8.4</v>
      </c>
      <c r="C168">
        <v>8.1</v>
      </c>
      <c r="D168">
        <f t="shared" si="11"/>
        <v>0.64395611307970013</v>
      </c>
      <c r="E168">
        <f t="shared" si="12"/>
        <v>2.8839554840544288</v>
      </c>
      <c r="F168">
        <f t="shared" si="13"/>
        <v>2.9062887481691213</v>
      </c>
      <c r="G168">
        <f t="shared" si="14"/>
        <v>4.9877468601661169E-4</v>
      </c>
    </row>
    <row r="169" spans="1:7" x14ac:dyDescent="0.2">
      <c r="A169">
        <v>82.5</v>
      </c>
      <c r="B169">
        <f t="shared" si="10"/>
        <v>8.25</v>
      </c>
      <c r="C169">
        <v>8</v>
      </c>
      <c r="D169">
        <f t="shared" si="11"/>
        <v>0.64218262075685739</v>
      </c>
      <c r="E169">
        <f t="shared" si="12"/>
        <v>2.8625390339451409</v>
      </c>
      <c r="F169">
        <f t="shared" si="13"/>
        <v>2.8888913408425205</v>
      </c>
      <c r="G169">
        <f t="shared" si="14"/>
        <v>6.9444407881368378E-4</v>
      </c>
    </row>
    <row r="170" spans="1:7" x14ac:dyDescent="0.2">
      <c r="A170">
        <v>83</v>
      </c>
      <c r="B170">
        <f t="shared" si="10"/>
        <v>8.3000000000000007</v>
      </c>
      <c r="C170">
        <v>8</v>
      </c>
      <c r="D170">
        <f t="shared" si="11"/>
        <v>0.64365773461622078</v>
      </c>
      <c r="E170">
        <f t="shared" si="12"/>
        <v>2.8507381230702338</v>
      </c>
      <c r="F170">
        <f t="shared" si="13"/>
        <v>2.8689392812876777</v>
      </c>
      <c r="G170">
        <f t="shared" si="14"/>
        <v>3.312821604564273E-4</v>
      </c>
    </row>
    <row r="171" spans="1:7" x14ac:dyDescent="0.2">
      <c r="A171">
        <v>83</v>
      </c>
      <c r="B171">
        <f t="shared" si="10"/>
        <v>8.3000000000000007</v>
      </c>
      <c r="C171">
        <v>8</v>
      </c>
      <c r="D171">
        <f t="shared" si="11"/>
        <v>0.64365773461622078</v>
      </c>
      <c r="E171">
        <f t="shared" si="12"/>
        <v>2.8507381230702338</v>
      </c>
      <c r="F171">
        <f t="shared" si="13"/>
        <v>2.8689392812876777</v>
      </c>
      <c r="G171">
        <f t="shared" si="14"/>
        <v>3.312821604564273E-4</v>
      </c>
    </row>
    <row r="172" spans="1:7" x14ac:dyDescent="0.2">
      <c r="A172">
        <v>82.5</v>
      </c>
      <c r="B172">
        <f t="shared" si="10"/>
        <v>8.25</v>
      </c>
      <c r="C172">
        <v>8</v>
      </c>
      <c r="D172">
        <f t="shared" si="11"/>
        <v>0.64218262075685739</v>
      </c>
      <c r="E172">
        <f t="shared" si="12"/>
        <v>2.8625390339451409</v>
      </c>
      <c r="F172">
        <f t="shared" si="13"/>
        <v>2.8888913408425205</v>
      </c>
      <c r="G172">
        <f t="shared" si="14"/>
        <v>6.9444407881368378E-4</v>
      </c>
    </row>
    <row r="173" spans="1:7" x14ac:dyDescent="0.2">
      <c r="A173">
        <v>79</v>
      </c>
      <c r="B173">
        <f t="shared" si="10"/>
        <v>7.9</v>
      </c>
      <c r="C173">
        <v>7.7</v>
      </c>
      <c r="D173">
        <f t="shared" si="11"/>
        <v>0.63972570042754251</v>
      </c>
      <c r="E173">
        <f t="shared" si="12"/>
        <v>2.7741121067079226</v>
      </c>
      <c r="F173">
        <f t="shared" si="13"/>
        <v>2.796957992125964</v>
      </c>
      <c r="G173">
        <f t="shared" si="14"/>
        <v>5.2193448053427366E-4</v>
      </c>
    </row>
    <row r="174" spans="1:7" x14ac:dyDescent="0.2">
      <c r="A174">
        <v>78</v>
      </c>
      <c r="B174">
        <f t="shared" si="10"/>
        <v>7.8</v>
      </c>
      <c r="C174">
        <v>7.7</v>
      </c>
      <c r="D174">
        <f t="shared" si="11"/>
        <v>0.63662059959252537</v>
      </c>
      <c r="E174">
        <f t="shared" si="12"/>
        <v>2.7980213831375549</v>
      </c>
      <c r="F174">
        <f t="shared" si="13"/>
        <v>2.8380802617451479</v>
      </c>
      <c r="G174">
        <f t="shared" si="14"/>
        <v>1.6047137552978761E-3</v>
      </c>
    </row>
    <row r="175" spans="1:7" x14ac:dyDescent="0.2">
      <c r="A175">
        <v>77.5</v>
      </c>
      <c r="B175">
        <f t="shared" si="10"/>
        <v>7.75</v>
      </c>
      <c r="C175">
        <v>7.6</v>
      </c>
      <c r="D175">
        <f t="shared" si="11"/>
        <v>0.63784429581859126</v>
      </c>
      <c r="E175">
        <f t="shared" si="12"/>
        <v>2.7523833517787062</v>
      </c>
      <c r="F175">
        <f t="shared" si="13"/>
        <v>2.7799936927448083</v>
      </c>
      <c r="G175">
        <f t="shared" si="14"/>
        <v>7.6233092826441886E-4</v>
      </c>
    </row>
    <row r="176" spans="1:7" x14ac:dyDescent="0.2">
      <c r="A176">
        <v>77.5</v>
      </c>
      <c r="B176">
        <f t="shared" si="10"/>
        <v>7.75</v>
      </c>
      <c r="C176">
        <v>7.6</v>
      </c>
      <c r="D176">
        <f t="shared" si="11"/>
        <v>0.63784429581859126</v>
      </c>
      <c r="E176">
        <f t="shared" si="12"/>
        <v>2.7523833517787062</v>
      </c>
      <c r="F176">
        <f t="shared" si="13"/>
        <v>2.7799936927448083</v>
      </c>
      <c r="G176">
        <f t="shared" si="14"/>
        <v>7.6233092826441886E-4</v>
      </c>
    </row>
    <row r="177" spans="1:7" x14ac:dyDescent="0.2">
      <c r="A177">
        <v>77</v>
      </c>
      <c r="B177">
        <f t="shared" si="10"/>
        <v>7.7</v>
      </c>
      <c r="C177">
        <v>7.6</v>
      </c>
      <c r="D177">
        <f t="shared" si="11"/>
        <v>0.63626845694218737</v>
      </c>
      <c r="E177">
        <f t="shared" si="12"/>
        <v>2.7643597272393761</v>
      </c>
      <c r="F177">
        <f t="shared" si="13"/>
        <v>2.8006810532920179</v>
      </c>
      <c r="G177">
        <f t="shared" si="14"/>
        <v>1.3192387262223177E-3</v>
      </c>
    </row>
    <row r="178" spans="1:7" x14ac:dyDescent="0.2">
      <c r="A178">
        <v>77</v>
      </c>
      <c r="B178">
        <f t="shared" si="10"/>
        <v>7.7</v>
      </c>
      <c r="C178">
        <v>7.6</v>
      </c>
      <c r="D178">
        <f t="shared" si="11"/>
        <v>0.63626845694218737</v>
      </c>
      <c r="E178">
        <f t="shared" si="12"/>
        <v>2.7643597272393761</v>
      </c>
      <c r="F178">
        <f t="shared" si="13"/>
        <v>2.8006810532920179</v>
      </c>
      <c r="G178">
        <f t="shared" si="14"/>
        <v>1.3192387262223177E-3</v>
      </c>
    </row>
    <row r="179" spans="1:7" x14ac:dyDescent="0.2">
      <c r="A179">
        <v>76.5</v>
      </c>
      <c r="B179">
        <f t="shared" si="10"/>
        <v>7.65</v>
      </c>
      <c r="C179">
        <v>7.5</v>
      </c>
      <c r="D179">
        <f t="shared" si="11"/>
        <v>0.63751025699458019</v>
      </c>
      <c r="E179">
        <f t="shared" si="12"/>
        <v>2.7186730725406485</v>
      </c>
      <c r="F179">
        <f t="shared" si="13"/>
        <v>2.7426038713789582</v>
      </c>
      <c r="G179">
        <f t="shared" si="14"/>
        <v>5.7268313303964629E-4</v>
      </c>
    </row>
    <row r="180" spans="1:7" x14ac:dyDescent="0.2">
      <c r="A180">
        <v>74.5</v>
      </c>
      <c r="B180">
        <f t="shared" si="10"/>
        <v>7.45</v>
      </c>
      <c r="C180">
        <v>7.4</v>
      </c>
      <c r="D180">
        <f t="shared" si="11"/>
        <v>0.6339425637197913</v>
      </c>
      <c r="E180">
        <f t="shared" si="12"/>
        <v>2.7088250284735444</v>
      </c>
      <c r="F180">
        <f t="shared" si="13"/>
        <v>2.7468376154314136</v>
      </c>
      <c r="G180">
        <f t="shared" si="14"/>
        <v>1.4449567672295625E-3</v>
      </c>
    </row>
    <row r="181" spans="1:7" x14ac:dyDescent="0.2">
      <c r="A181">
        <v>73.5</v>
      </c>
      <c r="B181">
        <f t="shared" si="10"/>
        <v>7.35</v>
      </c>
      <c r="C181">
        <v>7.3</v>
      </c>
      <c r="D181">
        <f t="shared" si="11"/>
        <v>0.63357567874318299</v>
      </c>
      <c r="E181">
        <f t="shared" si="12"/>
        <v>2.6748975451747641</v>
      </c>
      <c r="F181">
        <f t="shared" si="13"/>
        <v>2.7094330950982588</v>
      </c>
      <c r="G181">
        <f t="shared" si="14"/>
        <v>1.1927042085181964E-3</v>
      </c>
    </row>
    <row r="182" spans="1:7" x14ac:dyDescent="0.2">
      <c r="A182">
        <v>73.5</v>
      </c>
      <c r="B182">
        <f t="shared" si="10"/>
        <v>7.35</v>
      </c>
      <c r="C182">
        <v>7.3</v>
      </c>
      <c r="D182">
        <f t="shared" si="11"/>
        <v>0.63357567874318299</v>
      </c>
      <c r="E182">
        <f t="shared" si="12"/>
        <v>2.6748975451747641</v>
      </c>
      <c r="F182">
        <f t="shared" si="13"/>
        <v>2.7094330950982588</v>
      </c>
      <c r="G182">
        <f t="shared" si="14"/>
        <v>1.1927042085181964E-3</v>
      </c>
    </row>
    <row r="183" spans="1:7" x14ac:dyDescent="0.2">
      <c r="A183">
        <v>73.5</v>
      </c>
      <c r="B183">
        <f t="shared" si="10"/>
        <v>7.35</v>
      </c>
      <c r="C183">
        <v>7.3</v>
      </c>
      <c r="D183">
        <f t="shared" si="11"/>
        <v>0.63357567874318299</v>
      </c>
      <c r="E183">
        <f t="shared" si="12"/>
        <v>2.6748975451747641</v>
      </c>
      <c r="F183">
        <f t="shared" si="13"/>
        <v>2.7094330950982588</v>
      </c>
      <c r="G183">
        <f t="shared" si="14"/>
        <v>1.1927042085181964E-3</v>
      </c>
    </row>
    <row r="184" spans="1:7" x14ac:dyDescent="0.2">
      <c r="A184">
        <v>73.5</v>
      </c>
      <c r="B184">
        <f t="shared" si="10"/>
        <v>7.35</v>
      </c>
      <c r="C184">
        <v>7.3</v>
      </c>
      <c r="D184">
        <f t="shared" si="11"/>
        <v>0.63357567874318299</v>
      </c>
      <c r="E184">
        <f t="shared" si="12"/>
        <v>2.6748975451747641</v>
      </c>
      <c r="F184">
        <f t="shared" si="13"/>
        <v>2.7094330950982588</v>
      </c>
      <c r="G184">
        <f t="shared" si="14"/>
        <v>1.1927042085181964E-3</v>
      </c>
    </row>
    <row r="185" spans="1:7" x14ac:dyDescent="0.2">
      <c r="A185">
        <v>73.5</v>
      </c>
      <c r="B185">
        <f t="shared" si="10"/>
        <v>7.35</v>
      </c>
      <c r="C185">
        <v>7.3</v>
      </c>
      <c r="D185">
        <f t="shared" si="11"/>
        <v>0.63357567874318299</v>
      </c>
      <c r="E185">
        <f t="shared" si="12"/>
        <v>2.6748975451747641</v>
      </c>
      <c r="F185">
        <f t="shared" si="13"/>
        <v>2.7094330950982588</v>
      </c>
      <c r="G185">
        <f t="shared" si="14"/>
        <v>1.1927042085181964E-3</v>
      </c>
    </row>
    <row r="186" spans="1:7" x14ac:dyDescent="0.2">
      <c r="A186">
        <v>72</v>
      </c>
      <c r="B186">
        <f t="shared" si="10"/>
        <v>7.2</v>
      </c>
      <c r="C186">
        <v>7.2</v>
      </c>
      <c r="D186">
        <f t="shared" si="11"/>
        <v>0.63153143524649868</v>
      </c>
      <c r="E186">
        <f t="shared" si="12"/>
        <v>2.6529736662252095</v>
      </c>
      <c r="F186">
        <f t="shared" si="13"/>
        <v>2.6932696149273432</v>
      </c>
      <c r="G186">
        <f t="shared" si="14"/>
        <v>1.6237634818049914E-3</v>
      </c>
    </row>
    <row r="187" spans="1:7" x14ac:dyDescent="0.2">
      <c r="A187">
        <v>72.5</v>
      </c>
      <c r="B187">
        <f t="shared" si="10"/>
        <v>7.25</v>
      </c>
      <c r="C187">
        <v>7.2</v>
      </c>
      <c r="D187">
        <f t="shared" si="11"/>
        <v>0.63320954929529161</v>
      </c>
      <c r="E187">
        <f t="shared" si="12"/>
        <v>2.6408912450739006</v>
      </c>
      <c r="F187">
        <f t="shared" si="13"/>
        <v>2.672028630049418</v>
      </c>
      <c r="G187">
        <f t="shared" si="14"/>
        <v>9.6953674311357893E-4</v>
      </c>
    </row>
    <row r="188" spans="1:7" x14ac:dyDescent="0.2">
      <c r="A188">
        <v>70.5</v>
      </c>
      <c r="B188">
        <f t="shared" si="10"/>
        <v>7.05</v>
      </c>
      <c r="C188">
        <v>7</v>
      </c>
      <c r="D188">
        <f t="shared" si="11"/>
        <v>0.63247964508277654</v>
      </c>
      <c r="E188">
        <f t="shared" si="12"/>
        <v>2.5726424844205642</v>
      </c>
      <c r="F188">
        <f t="shared" si="13"/>
        <v>2.5972198752241731</v>
      </c>
      <c r="G188">
        <f t="shared" si="14"/>
        <v>6.0404813871331822E-4</v>
      </c>
    </row>
    <row r="189" spans="1:7" x14ac:dyDescent="0.2">
      <c r="A189">
        <v>69</v>
      </c>
      <c r="B189">
        <f t="shared" si="10"/>
        <v>6.9</v>
      </c>
      <c r="C189">
        <v>6.9</v>
      </c>
      <c r="D189">
        <f t="shared" si="11"/>
        <v>0.63037678954304899</v>
      </c>
      <c r="E189">
        <f t="shared" si="12"/>
        <v>2.550400152152962</v>
      </c>
      <c r="F189">
        <f t="shared" si="13"/>
        <v>2.5810500476387039</v>
      </c>
      <c r="G189">
        <f t="shared" si="14"/>
        <v>9.3941609328690348E-4</v>
      </c>
    </row>
    <row r="190" spans="1:7" x14ac:dyDescent="0.2">
      <c r="A190">
        <v>69.5</v>
      </c>
      <c r="B190">
        <f t="shared" si="10"/>
        <v>6.95</v>
      </c>
      <c r="C190">
        <v>6.9</v>
      </c>
      <c r="D190">
        <f t="shared" si="11"/>
        <v>0.6321159175604314</v>
      </c>
      <c r="E190">
        <f t="shared" si="12"/>
        <v>2.5384001688330233</v>
      </c>
      <c r="F190">
        <f t="shared" si="13"/>
        <v>2.5598155904966857</v>
      </c>
      <c r="G190">
        <f t="shared" si="14"/>
        <v>4.5862028503246055E-4</v>
      </c>
    </row>
    <row r="191" spans="1:7" x14ac:dyDescent="0.2">
      <c r="A191">
        <v>69.5</v>
      </c>
      <c r="B191">
        <f t="shared" si="10"/>
        <v>6.95</v>
      </c>
      <c r="C191">
        <v>6.9</v>
      </c>
      <c r="D191">
        <f t="shared" si="11"/>
        <v>0.6321159175604314</v>
      </c>
      <c r="E191">
        <f t="shared" si="12"/>
        <v>2.5384001688330233</v>
      </c>
      <c r="F191">
        <f t="shared" si="13"/>
        <v>2.5598155904966857</v>
      </c>
      <c r="G191">
        <f t="shared" si="14"/>
        <v>4.5862028503246055E-4</v>
      </c>
    </row>
    <row r="192" spans="1:7" x14ac:dyDescent="0.2">
      <c r="A192">
        <v>67</v>
      </c>
      <c r="B192">
        <f t="shared" si="10"/>
        <v>6.7</v>
      </c>
      <c r="C192">
        <v>6.7</v>
      </c>
      <c r="D192">
        <f t="shared" si="11"/>
        <v>0.62960819879549335</v>
      </c>
      <c r="E192">
        <f t="shared" si="12"/>
        <v>2.4816250680701946</v>
      </c>
      <c r="F192">
        <f t="shared" si="13"/>
        <v>2.5062370027796108</v>
      </c>
      <c r="G192">
        <f t="shared" si="14"/>
        <v>6.0574733014056832E-4</v>
      </c>
    </row>
    <row r="193" spans="1:7" x14ac:dyDescent="0.2">
      <c r="A193">
        <v>64.5</v>
      </c>
      <c r="B193">
        <f t="shared" si="10"/>
        <v>6.45</v>
      </c>
      <c r="C193">
        <v>6.5</v>
      </c>
      <c r="D193">
        <f t="shared" si="11"/>
        <v>0.62699133405128404</v>
      </c>
      <c r="E193">
        <f t="shared" si="12"/>
        <v>2.4245563286666538</v>
      </c>
      <c r="F193">
        <f t="shared" si="13"/>
        <v>2.4529854602410266</v>
      </c>
      <c r="G193">
        <f t="shared" si="14"/>
        <v>8.082155220729987E-4</v>
      </c>
    </row>
    <row r="194" spans="1:7" x14ac:dyDescent="0.2">
      <c r="A194">
        <v>64</v>
      </c>
      <c r="B194">
        <f t="shared" ref="B194:B204" si="15">A194/10</f>
        <v>6.4</v>
      </c>
      <c r="C194">
        <v>6.4</v>
      </c>
      <c r="D194">
        <f t="shared" ref="D194:D204" si="16">EXP(-ABS((-1.8796+0.34056*(C194/B194)-0.0061*B194+0.8262*LN($C$206))))</f>
        <v>0.62845706939634927</v>
      </c>
      <c r="E194">
        <f t="shared" ref="E194:E204" si="17">C194*(1-D194)</f>
        <v>2.3778747558633646</v>
      </c>
      <c r="F194">
        <f t="shared" ref="F194:F204" si="18">C194*(1-EXP(-($J$1+$J$2*(C194/B194))*($J$1+$J$2*(C194/B194))))</f>
        <v>2.3940174354909716</v>
      </c>
      <c r="G194">
        <f t="shared" ref="G194:G204" si="19">(E194-F194)^2</f>
        <v>2.6058610555955674E-4</v>
      </c>
    </row>
    <row r="195" spans="1:7" x14ac:dyDescent="0.2">
      <c r="A195">
        <v>62</v>
      </c>
      <c r="B195">
        <f t="shared" si="15"/>
        <v>6.2</v>
      </c>
      <c r="C195">
        <v>6.3</v>
      </c>
      <c r="D195">
        <f t="shared" si="16"/>
        <v>0.62425242637825562</v>
      </c>
      <c r="E195">
        <f t="shared" si="17"/>
        <v>2.3672097138169894</v>
      </c>
      <c r="F195">
        <f t="shared" si="18"/>
        <v>2.4000992636309415</v>
      </c>
      <c r="G195">
        <f t="shared" si="19"/>
        <v>1.081722486964436E-3</v>
      </c>
    </row>
    <row r="196" spans="1:7" x14ac:dyDescent="0.2">
      <c r="A196">
        <v>62.5</v>
      </c>
      <c r="B196">
        <f t="shared" si="15"/>
        <v>6.25</v>
      </c>
      <c r="C196">
        <v>6.3</v>
      </c>
      <c r="D196">
        <f t="shared" si="16"/>
        <v>0.62617396962951821</v>
      </c>
      <c r="E196">
        <f t="shared" si="17"/>
        <v>2.355103991334035</v>
      </c>
      <c r="F196">
        <f t="shared" si="18"/>
        <v>2.3781778312854032</v>
      </c>
      <c r="G196">
        <f t="shared" si="19"/>
        <v>5.3240209010135234E-4</v>
      </c>
    </row>
    <row r="197" spans="1:7" x14ac:dyDescent="0.2">
      <c r="A197">
        <v>62.5</v>
      </c>
      <c r="B197">
        <f t="shared" si="15"/>
        <v>6.25</v>
      </c>
      <c r="C197">
        <v>6.3</v>
      </c>
      <c r="D197">
        <f t="shared" si="16"/>
        <v>0.62617396962951821</v>
      </c>
      <c r="E197">
        <f t="shared" si="17"/>
        <v>2.355103991334035</v>
      </c>
      <c r="F197">
        <f t="shared" si="18"/>
        <v>2.3781778312854032</v>
      </c>
      <c r="G197">
        <f t="shared" si="19"/>
        <v>5.3240209010135234E-4</v>
      </c>
    </row>
    <row r="198" spans="1:7" x14ac:dyDescent="0.2">
      <c r="A198">
        <v>60.5</v>
      </c>
      <c r="B198">
        <f t="shared" si="15"/>
        <v>6.05</v>
      </c>
      <c r="C198">
        <v>6.1</v>
      </c>
      <c r="D198">
        <f t="shared" si="16"/>
        <v>0.62535417785106417</v>
      </c>
      <c r="E198">
        <f t="shared" si="17"/>
        <v>2.2853395151085083</v>
      </c>
      <c r="F198">
        <f t="shared" si="18"/>
        <v>2.3033705599655079</v>
      </c>
      <c r="G198">
        <f t="shared" si="19"/>
        <v>3.2511857863513097E-4</v>
      </c>
    </row>
    <row r="199" spans="1:7" x14ac:dyDescent="0.2">
      <c r="A199">
        <v>58.5</v>
      </c>
      <c r="B199">
        <f t="shared" si="15"/>
        <v>5.85</v>
      </c>
      <c r="C199">
        <v>5.9</v>
      </c>
      <c r="D199">
        <f t="shared" si="16"/>
        <v>0.62453161327189788</v>
      </c>
      <c r="E199">
        <f t="shared" si="17"/>
        <v>2.2152634816958026</v>
      </c>
      <c r="F199">
        <f t="shared" si="18"/>
        <v>2.2285636829148214</v>
      </c>
      <c r="G199">
        <f t="shared" si="19"/>
        <v>1.7689535246639103E-4</v>
      </c>
    </row>
    <row r="200" spans="1:7" x14ac:dyDescent="0.2">
      <c r="A200">
        <v>53</v>
      </c>
      <c r="B200">
        <f t="shared" si="15"/>
        <v>5.3</v>
      </c>
      <c r="C200">
        <v>5.4</v>
      </c>
      <c r="D200">
        <f t="shared" si="16"/>
        <v>0.62025585289164697</v>
      </c>
      <c r="E200">
        <f t="shared" si="17"/>
        <v>2.0506183943851064</v>
      </c>
      <c r="F200">
        <f t="shared" si="18"/>
        <v>2.0635598102761992</v>
      </c>
      <c r="G200">
        <f t="shared" si="19"/>
        <v>1.674802452662284E-4</v>
      </c>
    </row>
    <row r="201" spans="1:7" x14ac:dyDescent="0.2">
      <c r="A201">
        <v>53</v>
      </c>
      <c r="B201">
        <f t="shared" si="15"/>
        <v>5.3</v>
      </c>
      <c r="C201">
        <v>5.4</v>
      </c>
      <c r="D201">
        <f t="shared" si="16"/>
        <v>0.62025585289164697</v>
      </c>
      <c r="E201">
        <f t="shared" si="17"/>
        <v>2.0506183943851064</v>
      </c>
      <c r="F201">
        <f t="shared" si="18"/>
        <v>2.0635598102761992</v>
      </c>
      <c r="G201">
        <f t="shared" si="19"/>
        <v>1.674802452662284E-4</v>
      </c>
    </row>
    <row r="202" spans="1:7" x14ac:dyDescent="0.2">
      <c r="A202">
        <v>52</v>
      </c>
      <c r="B202">
        <f t="shared" si="15"/>
        <v>5.2</v>
      </c>
      <c r="C202">
        <v>5.3</v>
      </c>
      <c r="D202">
        <f t="shared" si="16"/>
        <v>0.61980101840953128</v>
      </c>
      <c r="E202">
        <f t="shared" si="17"/>
        <v>2.0150546024294842</v>
      </c>
      <c r="F202">
        <f t="shared" si="18"/>
        <v>2.026169078202734</v>
      </c>
      <c r="G202">
        <f t="shared" si="19"/>
        <v>1.2353157171415572E-4</v>
      </c>
    </row>
    <row r="203" spans="1:7" x14ac:dyDescent="0.2">
      <c r="A203">
        <v>47</v>
      </c>
      <c r="B203">
        <f t="shared" si="15"/>
        <v>4.7</v>
      </c>
      <c r="C203">
        <v>4.7</v>
      </c>
      <c r="D203">
        <f t="shared" si="16"/>
        <v>0.62197364424662649</v>
      </c>
      <c r="E203">
        <f t="shared" si="17"/>
        <v>1.7767238720408556</v>
      </c>
      <c r="F203">
        <f t="shared" si="18"/>
        <v>1.7581065541886822</v>
      </c>
      <c r="G203">
        <f t="shared" si="19"/>
        <v>3.4660452400885267E-4</v>
      </c>
    </row>
    <row r="204" spans="1:7" x14ac:dyDescent="0.2">
      <c r="A204">
        <v>41.5</v>
      </c>
      <c r="B204">
        <f t="shared" si="15"/>
        <v>4.1500000000000004</v>
      </c>
      <c r="C204">
        <v>4.0999999999999996</v>
      </c>
      <c r="D204">
        <f t="shared" si="16"/>
        <v>0.6224391370662139</v>
      </c>
      <c r="E204">
        <f t="shared" si="17"/>
        <v>1.547999538028523</v>
      </c>
      <c r="F204">
        <f t="shared" si="18"/>
        <v>1.5125394760254309</v>
      </c>
      <c r="G204">
        <f t="shared" si="19"/>
        <v>1.2574159972631319E-3</v>
      </c>
    </row>
    <row r="205" spans="1:7" x14ac:dyDescent="0.2">
      <c r="G205" s="85">
        <f>SUM(G2:G204)</f>
        <v>0.2130968473453051</v>
      </c>
    </row>
    <row r="206" spans="1:7" x14ac:dyDescent="0.2">
      <c r="B206" t="s">
        <v>677</v>
      </c>
      <c r="C206">
        <f>AVERAGE(C2:C101)</f>
        <v>11.849000000000006</v>
      </c>
    </row>
  </sheetData>
  <phoneticPr fontId="2" type="noConversion"/>
  <pageMargins left="0.78740157499999996" right="0.78740157499999996" top="0.984251969" bottom="0.984251969" header="0.4921259845" footer="0.4921259845"/>
  <pageSetup paperSize="9" orientation="portrait" r:id="rId1"/>
  <headerFooter alignWithMargins="0"/>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1" workbookViewId="0">
      <selection activeCell="B37" sqref="B37"/>
    </sheetView>
  </sheetViews>
  <sheetFormatPr baseColWidth="10" defaultRowHeight="12.75" x14ac:dyDescent="0.2"/>
  <cols>
    <col min="1" max="256" width="9.140625" customWidth="1"/>
  </cols>
  <sheetData>
    <row r="1" spans="1:2" x14ac:dyDescent="0.2">
      <c r="A1" s="7" t="s">
        <v>976</v>
      </c>
      <c r="B1" t="s">
        <v>41</v>
      </c>
    </row>
    <row r="2" spans="1:2" x14ac:dyDescent="0.2">
      <c r="A2" s="7"/>
    </row>
    <row r="6" spans="1:2" x14ac:dyDescent="0.2">
      <c r="A6" s="7"/>
    </row>
    <row r="7" spans="1:2" x14ac:dyDescent="0.2">
      <c r="A7" s="7" t="s">
        <v>977</v>
      </c>
      <c r="B7" t="s">
        <v>42</v>
      </c>
    </row>
    <row r="14" spans="1:2" x14ac:dyDescent="0.2">
      <c r="A14" s="7" t="s">
        <v>976</v>
      </c>
      <c r="B14" t="s">
        <v>46</v>
      </c>
    </row>
    <row r="15" spans="1:2" x14ac:dyDescent="0.2">
      <c r="A15" s="7" t="s">
        <v>977</v>
      </c>
      <c r="B15" t="s">
        <v>47</v>
      </c>
    </row>
    <row r="18" spans="1:3" x14ac:dyDescent="0.2">
      <c r="A18" s="7" t="s">
        <v>976</v>
      </c>
      <c r="B18" t="s">
        <v>251</v>
      </c>
    </row>
    <row r="19" spans="1:3" x14ac:dyDescent="0.2">
      <c r="A19" s="7" t="s">
        <v>977</v>
      </c>
      <c r="B19" t="s">
        <v>253</v>
      </c>
    </row>
    <row r="20" spans="1:3" x14ac:dyDescent="0.2">
      <c r="B20" s="7" t="s">
        <v>259</v>
      </c>
      <c r="C20" s="7" t="s">
        <v>260</v>
      </c>
    </row>
    <row r="21" spans="1:3" x14ac:dyDescent="0.2">
      <c r="B21" t="s">
        <v>254</v>
      </c>
      <c r="C21" s="32">
        <v>7.7</v>
      </c>
    </row>
    <row r="22" spans="1:3" x14ac:dyDescent="0.2">
      <c r="B22" t="s">
        <v>255</v>
      </c>
      <c r="C22" s="32">
        <v>6.6</v>
      </c>
    </row>
    <row r="23" spans="1:3" x14ac:dyDescent="0.2">
      <c r="B23" t="s">
        <v>256</v>
      </c>
      <c r="C23" s="32">
        <v>5.7</v>
      </c>
    </row>
    <row r="24" spans="1:3" x14ac:dyDescent="0.2">
      <c r="B24" t="s">
        <v>257</v>
      </c>
      <c r="C24" s="32">
        <v>5.5</v>
      </c>
    </row>
    <row r="25" spans="1:3" x14ac:dyDescent="0.2">
      <c r="B25" t="s">
        <v>258</v>
      </c>
      <c r="C25" s="32">
        <v>5.5</v>
      </c>
    </row>
    <row r="26" spans="1:3" x14ac:dyDescent="0.2">
      <c r="B26" t="s">
        <v>214</v>
      </c>
      <c r="C26" s="32">
        <f>SUM(C21:C25)/5</f>
        <v>6.2</v>
      </c>
    </row>
    <row r="28" spans="1:3" x14ac:dyDescent="0.2">
      <c r="A28" s="7" t="s">
        <v>976</v>
      </c>
      <c r="B28" t="s">
        <v>846</v>
      </c>
    </row>
    <row r="29" spans="1:3" x14ac:dyDescent="0.2">
      <c r="A29" s="7" t="s">
        <v>977</v>
      </c>
      <c r="B29" t="s">
        <v>873</v>
      </c>
    </row>
    <row r="31" spans="1:3" x14ac:dyDescent="0.2">
      <c r="A31" s="7" t="s">
        <v>976</v>
      </c>
      <c r="B31" t="s">
        <v>337</v>
      </c>
    </row>
    <row r="32" spans="1:3" x14ac:dyDescent="0.2">
      <c r="A32" s="7" t="s">
        <v>977</v>
      </c>
      <c r="B32" t="s">
        <v>338</v>
      </c>
    </row>
    <row r="33" spans="1:7" x14ac:dyDescent="0.2">
      <c r="A33" s="7"/>
    </row>
    <row r="34" spans="1:7" x14ac:dyDescent="0.2">
      <c r="A34" s="7" t="s">
        <v>976</v>
      </c>
      <c r="B34" t="s">
        <v>668</v>
      </c>
    </row>
    <row r="35" spans="1:7" x14ac:dyDescent="0.2">
      <c r="A35" s="7" t="s">
        <v>977</v>
      </c>
      <c r="B35" t="s">
        <v>681</v>
      </c>
    </row>
    <row r="37" spans="1:7" x14ac:dyDescent="0.2">
      <c r="A37" s="7" t="s">
        <v>976</v>
      </c>
      <c r="B37" t="s">
        <v>6</v>
      </c>
    </row>
    <row r="38" spans="1:7" x14ac:dyDescent="0.2">
      <c r="A38" s="7" t="s">
        <v>977</v>
      </c>
      <c r="B38" t="s">
        <v>235</v>
      </c>
      <c r="C38" t="s">
        <v>236</v>
      </c>
    </row>
    <row r="39" spans="1:7" x14ac:dyDescent="0.2">
      <c r="B39" t="s">
        <v>7</v>
      </c>
      <c r="C39" t="s">
        <v>237</v>
      </c>
    </row>
    <row r="40" spans="1:7" x14ac:dyDescent="0.2">
      <c r="B40" t="s">
        <v>9</v>
      </c>
      <c r="C40" t="s">
        <v>10</v>
      </c>
    </row>
    <row r="41" spans="1:7" x14ac:dyDescent="0.2">
      <c r="B41" t="s">
        <v>11</v>
      </c>
    </row>
    <row r="43" spans="1:7" x14ac:dyDescent="0.2">
      <c r="C43" s="2">
        <v>100</v>
      </c>
      <c r="D43">
        <v>28.2</v>
      </c>
      <c r="F43" s="45" t="s">
        <v>43</v>
      </c>
      <c r="G43" s="45">
        <v>28.2</v>
      </c>
    </row>
    <row r="44" spans="1:7" x14ac:dyDescent="0.2">
      <c r="C44">
        <v>0</v>
      </c>
      <c r="D44">
        <v>76.900000000000006</v>
      </c>
      <c r="F44" s="45" t="s">
        <v>685</v>
      </c>
      <c r="G44" s="45">
        <v>48.7</v>
      </c>
    </row>
    <row r="46" spans="1:7" x14ac:dyDescent="0.2">
      <c r="F46" t="s">
        <v>238</v>
      </c>
    </row>
  </sheetData>
  <phoneticPr fontId="2" type="noConversion"/>
  <pageMargins left="0.78740157499999996" right="0.78740157499999996" top="0.984251969" bottom="0.984251969"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topLeftCell="A36" workbookViewId="0">
      <selection activeCell="A56" sqref="A56:H78"/>
    </sheetView>
  </sheetViews>
  <sheetFormatPr baseColWidth="10" defaultRowHeight="12.75" x14ac:dyDescent="0.2"/>
  <cols>
    <col min="1" max="256" width="9.140625" customWidth="1"/>
  </cols>
  <sheetData>
    <row r="1" spans="1:3" x14ac:dyDescent="0.2">
      <c r="A1" s="7" t="s">
        <v>976</v>
      </c>
      <c r="B1" s="2" t="s">
        <v>894</v>
      </c>
    </row>
    <row r="2" spans="1:3" x14ac:dyDescent="0.2">
      <c r="A2" s="7" t="s">
        <v>977</v>
      </c>
      <c r="B2" t="s">
        <v>450</v>
      </c>
    </row>
    <row r="5" spans="1:3" x14ac:dyDescent="0.2">
      <c r="B5" t="s">
        <v>451</v>
      </c>
      <c r="C5" t="s">
        <v>260</v>
      </c>
    </row>
    <row r="6" spans="1:3" x14ac:dyDescent="0.2">
      <c r="B6">
        <v>0</v>
      </c>
      <c r="C6">
        <f>43.1-0.093*B6</f>
        <v>43.1</v>
      </c>
    </row>
    <row r="7" spans="1:3" x14ac:dyDescent="0.2">
      <c r="B7">
        <v>10</v>
      </c>
      <c r="C7">
        <f t="shared" ref="C7:C16" si="0">43.1-0.093*B7</f>
        <v>42.17</v>
      </c>
    </row>
    <row r="8" spans="1:3" x14ac:dyDescent="0.2">
      <c r="B8">
        <v>20</v>
      </c>
      <c r="C8">
        <f t="shared" si="0"/>
        <v>41.24</v>
      </c>
    </row>
    <row r="9" spans="1:3" x14ac:dyDescent="0.2">
      <c r="B9">
        <v>30</v>
      </c>
      <c r="C9">
        <f t="shared" si="0"/>
        <v>40.31</v>
      </c>
    </row>
    <row r="10" spans="1:3" x14ac:dyDescent="0.2">
      <c r="B10">
        <v>40</v>
      </c>
      <c r="C10">
        <f t="shared" si="0"/>
        <v>39.380000000000003</v>
      </c>
    </row>
    <row r="11" spans="1:3" x14ac:dyDescent="0.2">
      <c r="B11">
        <v>50</v>
      </c>
      <c r="C11">
        <f t="shared" si="0"/>
        <v>38.450000000000003</v>
      </c>
    </row>
    <row r="12" spans="1:3" x14ac:dyDescent="0.2">
      <c r="B12">
        <v>60</v>
      </c>
      <c r="C12">
        <f t="shared" si="0"/>
        <v>37.520000000000003</v>
      </c>
    </row>
    <row r="13" spans="1:3" x14ac:dyDescent="0.2">
      <c r="B13">
        <v>70</v>
      </c>
      <c r="C13">
        <f t="shared" si="0"/>
        <v>36.590000000000003</v>
      </c>
    </row>
    <row r="14" spans="1:3" x14ac:dyDescent="0.2">
      <c r="B14">
        <v>80</v>
      </c>
      <c r="C14">
        <f t="shared" si="0"/>
        <v>35.660000000000004</v>
      </c>
    </row>
    <row r="15" spans="1:3" x14ac:dyDescent="0.2">
      <c r="B15">
        <v>90</v>
      </c>
      <c r="C15">
        <f t="shared" si="0"/>
        <v>34.730000000000004</v>
      </c>
    </row>
    <row r="16" spans="1:3" x14ac:dyDescent="0.2">
      <c r="B16">
        <v>100</v>
      </c>
      <c r="C16">
        <f t="shared" si="0"/>
        <v>33.799999999999997</v>
      </c>
    </row>
    <row r="38" spans="1:5" x14ac:dyDescent="0.2">
      <c r="A38" s="7" t="s">
        <v>976</v>
      </c>
      <c r="B38" t="s">
        <v>5</v>
      </c>
    </row>
    <row r="39" spans="1:5" x14ac:dyDescent="0.2">
      <c r="A39" s="7" t="s">
        <v>977</v>
      </c>
      <c r="C39" t="s">
        <v>232</v>
      </c>
      <c r="D39" t="s">
        <v>233</v>
      </c>
      <c r="E39" t="s">
        <v>214</v>
      </c>
    </row>
    <row r="40" spans="1:5" x14ac:dyDescent="0.2">
      <c r="B40" t="s">
        <v>260</v>
      </c>
      <c r="C40">
        <v>2.2999999999999998</v>
      </c>
      <c r="D40">
        <v>3.03</v>
      </c>
    </row>
    <row r="41" spans="1:5" x14ac:dyDescent="0.2">
      <c r="B41" t="s">
        <v>234</v>
      </c>
      <c r="C41">
        <v>3.34</v>
      </c>
      <c r="D41">
        <v>4.18</v>
      </c>
    </row>
    <row r="42" spans="1:5" x14ac:dyDescent="0.2">
      <c r="C42">
        <v>4.2</v>
      </c>
      <c r="D42">
        <v>5.58</v>
      </c>
      <c r="E42" t="s">
        <v>8</v>
      </c>
    </row>
    <row r="43" spans="1:5" x14ac:dyDescent="0.2">
      <c r="C43">
        <f>AVERAGE(C40:C42)</f>
        <v>3.28</v>
      </c>
      <c r="D43">
        <f>AVERAGE(D40:D42)</f>
        <v>4.2633333333333328</v>
      </c>
    </row>
    <row r="45" spans="1:5" x14ac:dyDescent="0.2">
      <c r="A45" s="7" t="s">
        <v>976</v>
      </c>
      <c r="B45" t="s">
        <v>6</v>
      </c>
    </row>
    <row r="46" spans="1:5" x14ac:dyDescent="0.2">
      <c r="A46" s="7" t="s">
        <v>977</v>
      </c>
      <c r="B46" t="s">
        <v>235</v>
      </c>
      <c r="C46" t="s">
        <v>236</v>
      </c>
    </row>
    <row r="47" spans="1:5" x14ac:dyDescent="0.2">
      <c r="B47" t="s">
        <v>7</v>
      </c>
      <c r="C47" t="s">
        <v>237</v>
      </c>
    </row>
    <row r="48" spans="1:5" x14ac:dyDescent="0.2">
      <c r="B48" t="s">
        <v>9</v>
      </c>
      <c r="C48" t="s">
        <v>10</v>
      </c>
    </row>
    <row r="49" spans="1:7" x14ac:dyDescent="0.2">
      <c r="B49" t="s">
        <v>11</v>
      </c>
    </row>
    <row r="51" spans="1:7" x14ac:dyDescent="0.2">
      <c r="C51" s="2">
        <v>100</v>
      </c>
      <c r="D51">
        <v>28.2</v>
      </c>
      <c r="F51" s="45" t="s">
        <v>43</v>
      </c>
      <c r="G51" s="45">
        <v>28.2</v>
      </c>
    </row>
    <row r="52" spans="1:7" x14ac:dyDescent="0.2">
      <c r="C52">
        <v>0</v>
      </c>
      <c r="D52">
        <v>76.900000000000006</v>
      </c>
      <c r="F52" s="45" t="s">
        <v>685</v>
      </c>
      <c r="G52" s="45">
        <v>48.7</v>
      </c>
    </row>
    <row r="54" spans="1:7" x14ac:dyDescent="0.2">
      <c r="F54" t="s">
        <v>238</v>
      </c>
    </row>
    <row r="56" spans="1:7" x14ac:dyDescent="0.2">
      <c r="A56" s="7" t="s">
        <v>976</v>
      </c>
      <c r="B56" t="s">
        <v>782</v>
      </c>
    </row>
    <row r="57" spans="1:7" x14ac:dyDescent="0.2">
      <c r="A57" s="7" t="s">
        <v>977</v>
      </c>
      <c r="B57" t="s">
        <v>797</v>
      </c>
    </row>
    <row r="58" spans="1:7" x14ac:dyDescent="0.2">
      <c r="B58" t="s">
        <v>798</v>
      </c>
    </row>
    <row r="59" spans="1:7" x14ac:dyDescent="0.2">
      <c r="B59" t="s">
        <v>799</v>
      </c>
    </row>
    <row r="60" spans="1:7" x14ac:dyDescent="0.2">
      <c r="B60" s="7" t="s">
        <v>801</v>
      </c>
      <c r="C60" s="7" t="s">
        <v>802</v>
      </c>
    </row>
    <row r="61" spans="1:7" x14ac:dyDescent="0.2">
      <c r="B61" t="s">
        <v>800</v>
      </c>
      <c r="C61" t="s">
        <v>803</v>
      </c>
    </row>
    <row r="62" spans="1:7" x14ac:dyDescent="0.2">
      <c r="B62" t="s">
        <v>804</v>
      </c>
      <c r="C62" t="s">
        <v>805</v>
      </c>
    </row>
    <row r="63" spans="1:7" x14ac:dyDescent="0.2">
      <c r="B63" t="s">
        <v>790</v>
      </c>
      <c r="C63" t="s">
        <v>806</v>
      </c>
    </row>
    <row r="64" spans="1:7" x14ac:dyDescent="0.2">
      <c r="B64" t="s">
        <v>807</v>
      </c>
      <c r="C64" t="s">
        <v>808</v>
      </c>
    </row>
    <row r="65" spans="2:3" x14ac:dyDescent="0.2">
      <c r="B65" t="s">
        <v>809</v>
      </c>
      <c r="C65" t="s">
        <v>810</v>
      </c>
    </row>
    <row r="66" spans="2:3" x14ac:dyDescent="0.2">
      <c r="B66" t="s">
        <v>811</v>
      </c>
      <c r="C66" t="s">
        <v>812</v>
      </c>
    </row>
    <row r="67" spans="2:3" x14ac:dyDescent="0.2">
      <c r="B67" t="s">
        <v>813</v>
      </c>
      <c r="C67" t="s">
        <v>814</v>
      </c>
    </row>
    <row r="69" spans="2:3" x14ac:dyDescent="0.2">
      <c r="B69" t="s">
        <v>815</v>
      </c>
    </row>
    <row r="70" spans="2:3" x14ac:dyDescent="0.2">
      <c r="B70" t="s">
        <v>816</v>
      </c>
    </row>
    <row r="72" spans="2:3" x14ac:dyDescent="0.2">
      <c r="B72" t="s">
        <v>820</v>
      </c>
    </row>
    <row r="73" spans="2:3" x14ac:dyDescent="0.2">
      <c r="B73" s="7" t="s">
        <v>801</v>
      </c>
      <c r="C73" s="7" t="s">
        <v>802</v>
      </c>
    </row>
    <row r="74" spans="2:3" x14ac:dyDescent="0.2">
      <c r="B74" t="s">
        <v>818</v>
      </c>
      <c r="C74" t="s">
        <v>822</v>
      </c>
    </row>
    <row r="75" spans="2:3" x14ac:dyDescent="0.2">
      <c r="B75" t="s">
        <v>819</v>
      </c>
      <c r="C75" t="s">
        <v>823</v>
      </c>
    </row>
    <row r="76" spans="2:3" x14ac:dyDescent="0.2">
      <c r="B76" t="s">
        <v>785</v>
      </c>
      <c r="C76" t="s">
        <v>821</v>
      </c>
    </row>
    <row r="77" spans="2:3" x14ac:dyDescent="0.2">
      <c r="B77" t="s">
        <v>824</v>
      </c>
      <c r="C77" t="s">
        <v>825</v>
      </c>
    </row>
    <row r="78" spans="2:3" x14ac:dyDescent="0.2">
      <c r="B78" t="s">
        <v>826</v>
      </c>
      <c r="C78" t="s">
        <v>827</v>
      </c>
    </row>
  </sheetData>
  <phoneticPr fontId="2" type="noConversion"/>
  <pageMargins left="0.78740157499999996" right="0.78740157499999996" top="0.984251969" bottom="0.984251969" header="0.5" footer="0.5"/>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sqref="A1:B3"/>
    </sheetView>
  </sheetViews>
  <sheetFormatPr baseColWidth="10" defaultRowHeight="12.75" x14ac:dyDescent="0.2"/>
  <cols>
    <col min="1" max="256" width="9.140625" customWidth="1"/>
  </cols>
  <sheetData>
    <row r="1" spans="1:2" x14ac:dyDescent="0.2">
      <c r="A1" s="7" t="s">
        <v>976</v>
      </c>
      <c r="B1" t="s">
        <v>311</v>
      </c>
    </row>
    <row r="2" spans="1:2" x14ac:dyDescent="0.2">
      <c r="A2" s="7" t="s">
        <v>977</v>
      </c>
      <c r="B2" t="s">
        <v>312</v>
      </c>
    </row>
  </sheetData>
  <phoneticPr fontId="2" type="noConversion"/>
  <pageMargins left="0.78740157499999996" right="0.78740157499999996" top="0.984251969" bottom="0.984251969"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B19" sqref="B19"/>
    </sheetView>
  </sheetViews>
  <sheetFormatPr baseColWidth="10" defaultRowHeight="12.75" x14ac:dyDescent="0.2"/>
  <cols>
    <col min="1" max="256" width="9.140625" customWidth="1"/>
  </cols>
  <sheetData>
    <row r="1" spans="1:7" x14ac:dyDescent="0.2">
      <c r="A1" s="7" t="s">
        <v>976</v>
      </c>
      <c r="B1" t="s">
        <v>311</v>
      </c>
    </row>
    <row r="2" spans="1:7" x14ac:dyDescent="0.2">
      <c r="A2" s="7" t="s">
        <v>977</v>
      </c>
      <c r="B2" t="s">
        <v>687</v>
      </c>
    </row>
    <row r="5" spans="1:7" x14ac:dyDescent="0.2">
      <c r="A5" s="7" t="s">
        <v>976</v>
      </c>
      <c r="B5" t="s">
        <v>438</v>
      </c>
    </row>
    <row r="6" spans="1:7" x14ac:dyDescent="0.2">
      <c r="A6" s="7" t="s">
        <v>977</v>
      </c>
      <c r="B6" t="s">
        <v>439</v>
      </c>
    </row>
    <row r="7" spans="1:7" x14ac:dyDescent="0.2">
      <c r="B7" s="7" t="s">
        <v>406</v>
      </c>
      <c r="C7" s="7" t="s">
        <v>409</v>
      </c>
      <c r="D7" s="7" t="s">
        <v>477</v>
      </c>
      <c r="E7" s="7" t="s">
        <v>440</v>
      </c>
      <c r="F7" s="7" t="s">
        <v>441</v>
      </c>
      <c r="G7" s="7" t="s">
        <v>442</v>
      </c>
    </row>
    <row r="8" spans="1:7" x14ac:dyDescent="0.2">
      <c r="B8" t="s">
        <v>444</v>
      </c>
      <c r="C8" s="3">
        <v>6.3</v>
      </c>
      <c r="D8">
        <v>16.100000000000001</v>
      </c>
      <c r="E8">
        <v>7.2</v>
      </c>
      <c r="F8">
        <v>2.7</v>
      </c>
      <c r="G8">
        <v>6.2</v>
      </c>
    </row>
    <row r="9" spans="1:7" x14ac:dyDescent="0.2">
      <c r="B9" t="s">
        <v>443</v>
      </c>
      <c r="C9">
        <v>7.9</v>
      </c>
      <c r="D9">
        <v>19.5</v>
      </c>
      <c r="E9">
        <v>10.7</v>
      </c>
      <c r="F9">
        <v>2.5</v>
      </c>
      <c r="G9">
        <v>6.3</v>
      </c>
    </row>
    <row r="10" spans="1:7" x14ac:dyDescent="0.2">
      <c r="D10" t="s">
        <v>445</v>
      </c>
    </row>
    <row r="11" spans="1:7" x14ac:dyDescent="0.2">
      <c r="D11" t="s">
        <v>446</v>
      </c>
    </row>
    <row r="14" spans="1:7" x14ac:dyDescent="0.2">
      <c r="A14" s="7" t="s">
        <v>976</v>
      </c>
      <c r="B14" t="s">
        <v>448</v>
      </c>
    </row>
    <row r="15" spans="1:7" x14ac:dyDescent="0.2">
      <c r="A15" s="7" t="s">
        <v>977</v>
      </c>
      <c r="B15" s="7" t="s">
        <v>453</v>
      </c>
    </row>
    <row r="16" spans="1:7" x14ac:dyDescent="0.2">
      <c r="B16" t="s">
        <v>452</v>
      </c>
    </row>
    <row r="17" spans="1:2" x14ac:dyDescent="0.2">
      <c r="B17" t="s">
        <v>449</v>
      </c>
    </row>
    <row r="19" spans="1:2" x14ac:dyDescent="0.2">
      <c r="A19" s="7" t="s">
        <v>976</v>
      </c>
      <c r="B19" t="s">
        <v>221</v>
      </c>
    </row>
    <row r="20" spans="1:2" x14ac:dyDescent="0.2">
      <c r="A20" s="7" t="s">
        <v>977</v>
      </c>
      <c r="B20" t="s">
        <v>82</v>
      </c>
    </row>
  </sheetData>
  <phoneticPr fontId="2" type="noConversion"/>
  <pageMargins left="0.78740157499999996" right="0.78740157499999996" top="0.984251969" bottom="0.984251969"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sqref="A1:A2"/>
    </sheetView>
  </sheetViews>
  <sheetFormatPr baseColWidth="10" defaultRowHeight="12.75" x14ac:dyDescent="0.2"/>
  <cols>
    <col min="1" max="256" width="9.140625" customWidth="1"/>
  </cols>
  <sheetData>
    <row r="1" spans="1:2" x14ac:dyDescent="0.2">
      <c r="A1" s="7" t="s">
        <v>976</v>
      </c>
      <c r="B1" t="s">
        <v>465</v>
      </c>
    </row>
    <row r="2" spans="1:2" x14ac:dyDescent="0.2">
      <c r="A2" s="7" t="s">
        <v>977</v>
      </c>
      <c r="B2" t="s">
        <v>464</v>
      </c>
    </row>
  </sheetData>
  <phoneticPr fontId="2" type="noConversion"/>
  <pageMargins left="0.78740157499999996" right="0.78740157499999996" top="0.984251969" bottom="0.984251969"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activeCell="B16" sqref="B16:E34"/>
    </sheetView>
  </sheetViews>
  <sheetFormatPr baseColWidth="10" defaultRowHeight="12.75" x14ac:dyDescent="0.2"/>
  <cols>
    <col min="1" max="256" width="9.140625" customWidth="1"/>
  </cols>
  <sheetData>
    <row r="1" spans="1:4" x14ac:dyDescent="0.2">
      <c r="A1" s="7" t="s">
        <v>976</v>
      </c>
      <c r="B1" t="s">
        <v>782</v>
      </c>
    </row>
    <row r="2" spans="1:4" x14ac:dyDescent="0.2">
      <c r="A2" s="7" t="s">
        <v>977</v>
      </c>
      <c r="B2" t="s">
        <v>783</v>
      </c>
    </row>
    <row r="3" spans="1:4" x14ac:dyDescent="0.2">
      <c r="B3" s="7" t="s">
        <v>784</v>
      </c>
      <c r="C3" s="7" t="s">
        <v>273</v>
      </c>
      <c r="D3" s="7"/>
    </row>
    <row r="4" spans="1:4" x14ac:dyDescent="0.2">
      <c r="B4" t="s">
        <v>785</v>
      </c>
      <c r="C4">
        <v>25.9</v>
      </c>
    </row>
    <row r="5" spans="1:4" x14ac:dyDescent="0.2">
      <c r="B5" t="s">
        <v>786</v>
      </c>
      <c r="C5">
        <v>3.4</v>
      </c>
    </row>
    <row r="6" spans="1:4" x14ac:dyDescent="0.2">
      <c r="B6" t="s">
        <v>787</v>
      </c>
      <c r="C6">
        <v>77</v>
      </c>
    </row>
    <row r="7" spans="1:4" x14ac:dyDescent="0.2">
      <c r="B7" t="s">
        <v>788</v>
      </c>
      <c r="C7">
        <v>3.07</v>
      </c>
    </row>
    <row r="8" spans="1:4" x14ac:dyDescent="0.2">
      <c r="B8" t="s">
        <v>789</v>
      </c>
      <c r="C8">
        <v>0.81</v>
      </c>
    </row>
    <row r="9" spans="1:4" x14ac:dyDescent="0.2">
      <c r="B9" t="s">
        <v>790</v>
      </c>
      <c r="C9">
        <v>0.13</v>
      </c>
    </row>
    <row r="10" spans="1:4" x14ac:dyDescent="0.2">
      <c r="B10" t="s">
        <v>791</v>
      </c>
      <c r="C10">
        <v>4.01</v>
      </c>
    </row>
    <row r="11" spans="1:4" x14ac:dyDescent="0.2">
      <c r="B11" t="s">
        <v>792</v>
      </c>
      <c r="C11">
        <v>1.43</v>
      </c>
    </row>
    <row r="12" spans="1:4" x14ac:dyDescent="0.2">
      <c r="B12" t="s">
        <v>793</v>
      </c>
      <c r="C12">
        <v>5.44</v>
      </c>
    </row>
    <row r="13" spans="1:4" x14ac:dyDescent="0.2">
      <c r="B13" t="s">
        <v>794</v>
      </c>
      <c r="C13">
        <v>81.099999999999994</v>
      </c>
    </row>
    <row r="14" spans="1:4" x14ac:dyDescent="0.2">
      <c r="B14" t="s">
        <v>795</v>
      </c>
      <c r="C14">
        <v>26</v>
      </c>
    </row>
    <row r="16" spans="1:4" x14ac:dyDescent="0.2">
      <c r="B16" s="7" t="s">
        <v>801</v>
      </c>
      <c r="C16" s="7" t="s">
        <v>802</v>
      </c>
    </row>
    <row r="17" spans="2:3" x14ac:dyDescent="0.2">
      <c r="B17" t="s">
        <v>800</v>
      </c>
      <c r="C17" t="s">
        <v>803</v>
      </c>
    </row>
    <row r="18" spans="2:3" x14ac:dyDescent="0.2">
      <c r="B18" t="s">
        <v>804</v>
      </c>
      <c r="C18" t="s">
        <v>805</v>
      </c>
    </row>
    <row r="19" spans="2:3" x14ac:dyDescent="0.2">
      <c r="B19" t="s">
        <v>790</v>
      </c>
      <c r="C19" t="s">
        <v>806</v>
      </c>
    </row>
    <row r="20" spans="2:3" x14ac:dyDescent="0.2">
      <c r="B20" t="s">
        <v>807</v>
      </c>
      <c r="C20" t="s">
        <v>808</v>
      </c>
    </row>
    <row r="21" spans="2:3" x14ac:dyDescent="0.2">
      <c r="B21" t="s">
        <v>809</v>
      </c>
      <c r="C21" t="s">
        <v>810</v>
      </c>
    </row>
    <row r="22" spans="2:3" x14ac:dyDescent="0.2">
      <c r="B22" t="s">
        <v>811</v>
      </c>
      <c r="C22" t="s">
        <v>812</v>
      </c>
    </row>
    <row r="23" spans="2:3" x14ac:dyDescent="0.2">
      <c r="B23" t="s">
        <v>813</v>
      </c>
      <c r="C23" t="s">
        <v>814</v>
      </c>
    </row>
    <row r="25" spans="2:3" x14ac:dyDescent="0.2">
      <c r="B25" t="s">
        <v>815</v>
      </c>
    </row>
    <row r="26" spans="2:3" x14ac:dyDescent="0.2">
      <c r="B26" t="s">
        <v>816</v>
      </c>
    </row>
    <row r="28" spans="2:3" x14ac:dyDescent="0.2">
      <c r="B28" t="s">
        <v>820</v>
      </c>
    </row>
    <row r="29" spans="2:3" x14ac:dyDescent="0.2">
      <c r="B29" s="7" t="s">
        <v>801</v>
      </c>
      <c r="C29" s="7" t="s">
        <v>802</v>
      </c>
    </row>
    <row r="30" spans="2:3" x14ac:dyDescent="0.2">
      <c r="B30" t="s">
        <v>818</v>
      </c>
      <c r="C30" t="s">
        <v>822</v>
      </c>
    </row>
    <row r="31" spans="2:3" x14ac:dyDescent="0.2">
      <c r="B31" t="s">
        <v>819</v>
      </c>
      <c r="C31" t="s">
        <v>823</v>
      </c>
    </row>
    <row r="32" spans="2:3" x14ac:dyDescent="0.2">
      <c r="B32" t="s">
        <v>785</v>
      </c>
      <c r="C32" t="s">
        <v>821</v>
      </c>
    </row>
    <row r="33" spans="2:3" x14ac:dyDescent="0.2">
      <c r="B33" t="s">
        <v>824</v>
      </c>
      <c r="C33" t="s">
        <v>825</v>
      </c>
    </row>
    <row r="34" spans="2:3" x14ac:dyDescent="0.2">
      <c r="B34" t="s">
        <v>826</v>
      </c>
      <c r="C34" t="s">
        <v>827</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topLeftCell="A28" workbookViewId="0">
      <selection activeCell="B50" sqref="B50:E68"/>
    </sheetView>
  </sheetViews>
  <sheetFormatPr baseColWidth="10" defaultRowHeight="12.75" x14ac:dyDescent="0.2"/>
  <cols>
    <col min="1" max="6" width="9.140625" customWidth="1"/>
    <col min="7" max="7" width="10.85546875" bestFit="1" customWidth="1"/>
    <col min="8" max="8" width="12.42578125" bestFit="1" customWidth="1"/>
    <col min="9" max="256" width="9.140625" customWidth="1"/>
  </cols>
  <sheetData>
    <row r="1" spans="1:9" x14ac:dyDescent="0.2">
      <c r="A1" s="7" t="s">
        <v>976</v>
      </c>
      <c r="B1" t="s">
        <v>630</v>
      </c>
    </row>
    <row r="2" spans="1:9" x14ac:dyDescent="0.2">
      <c r="A2" s="7" t="s">
        <v>977</v>
      </c>
      <c r="B2" t="s">
        <v>631</v>
      </c>
    </row>
    <row r="3" spans="1:9" x14ac:dyDescent="0.2">
      <c r="B3" s="7" t="s">
        <v>632</v>
      </c>
      <c r="C3" s="7"/>
      <c r="D3" s="7" t="s">
        <v>639</v>
      </c>
      <c r="E3" s="7"/>
      <c r="F3" s="7"/>
      <c r="G3" s="7"/>
      <c r="H3" s="7"/>
      <c r="I3" s="7"/>
    </row>
    <row r="4" spans="1:9" x14ac:dyDescent="0.2">
      <c r="B4" s="7" t="s">
        <v>646</v>
      </c>
      <c r="C4" s="7"/>
      <c r="D4" s="7" t="s">
        <v>640</v>
      </c>
      <c r="E4" s="7" t="s">
        <v>641</v>
      </c>
      <c r="F4" s="7" t="s">
        <v>642</v>
      </c>
      <c r="G4" s="7" t="s">
        <v>643</v>
      </c>
      <c r="H4" s="71" t="s">
        <v>644</v>
      </c>
      <c r="I4" s="7" t="s">
        <v>645</v>
      </c>
    </row>
    <row r="5" spans="1:9" x14ac:dyDescent="0.2">
      <c r="B5" t="s">
        <v>633</v>
      </c>
      <c r="D5">
        <v>35.700000000000003</v>
      </c>
      <c r="G5">
        <v>48.3</v>
      </c>
      <c r="H5">
        <v>82.7</v>
      </c>
    </row>
    <row r="6" spans="1:9" x14ac:dyDescent="0.2">
      <c r="B6" t="s">
        <v>634</v>
      </c>
      <c r="D6">
        <v>35.299999999999997</v>
      </c>
      <c r="G6">
        <v>59</v>
      </c>
      <c r="H6">
        <v>96.8</v>
      </c>
    </row>
    <row r="7" spans="1:9" x14ac:dyDescent="0.2">
      <c r="B7" t="s">
        <v>635</v>
      </c>
      <c r="D7">
        <v>35</v>
      </c>
      <c r="G7">
        <v>63.1</v>
      </c>
      <c r="H7">
        <v>105.8</v>
      </c>
    </row>
    <row r="8" spans="1:9" x14ac:dyDescent="0.2">
      <c r="B8" t="s">
        <v>636</v>
      </c>
      <c r="D8">
        <v>28.1</v>
      </c>
      <c r="G8">
        <v>59.1</v>
      </c>
      <c r="H8">
        <v>88.3</v>
      </c>
    </row>
    <row r="9" spans="1:9" x14ac:dyDescent="0.2">
      <c r="B9" t="s">
        <v>637</v>
      </c>
      <c r="D9">
        <v>35.799999999999997</v>
      </c>
      <c r="G9">
        <v>70.2</v>
      </c>
      <c r="H9">
        <v>117.5</v>
      </c>
    </row>
    <row r="10" spans="1:9" x14ac:dyDescent="0.2">
      <c r="B10" t="s">
        <v>638</v>
      </c>
      <c r="D10">
        <v>21.4</v>
      </c>
      <c r="G10">
        <v>49.5</v>
      </c>
      <c r="H10">
        <v>80.900000000000006</v>
      </c>
    </row>
    <row r="11" spans="1:9" x14ac:dyDescent="0.2">
      <c r="B11" s="7" t="s">
        <v>647</v>
      </c>
    </row>
    <row r="13" spans="1:9" x14ac:dyDescent="0.2">
      <c r="B13" t="s">
        <v>648</v>
      </c>
    </row>
    <row r="15" spans="1:9" x14ac:dyDescent="0.2">
      <c r="B15" t="s">
        <v>649</v>
      </c>
    </row>
    <row r="16" spans="1:9" x14ac:dyDescent="0.2">
      <c r="B16" s="7" t="s">
        <v>632</v>
      </c>
      <c r="C16" s="7"/>
      <c r="D16" s="7" t="s">
        <v>639</v>
      </c>
      <c r="E16" s="7"/>
      <c r="F16" s="7"/>
      <c r="G16" s="7"/>
      <c r="H16" s="7"/>
      <c r="I16" s="7"/>
    </row>
    <row r="17" spans="1:9" x14ac:dyDescent="0.2">
      <c r="B17" s="7" t="s">
        <v>650</v>
      </c>
      <c r="C17" s="7"/>
      <c r="D17" s="7">
        <v>1983</v>
      </c>
      <c r="E17" s="7">
        <v>1986</v>
      </c>
      <c r="F17" s="7">
        <v>1988</v>
      </c>
      <c r="I17" s="7"/>
    </row>
    <row r="18" spans="1:9" x14ac:dyDescent="0.2">
      <c r="B18" t="s">
        <v>633</v>
      </c>
      <c r="D18">
        <v>4.9000000000000004</v>
      </c>
      <c r="E18">
        <v>60.2</v>
      </c>
      <c r="F18">
        <v>183.7</v>
      </c>
    </row>
    <row r="19" spans="1:9" x14ac:dyDescent="0.2">
      <c r="B19" t="s">
        <v>634</v>
      </c>
      <c r="D19">
        <v>9.84</v>
      </c>
      <c r="E19">
        <v>78.2</v>
      </c>
      <c r="F19">
        <v>237</v>
      </c>
    </row>
    <row r="20" spans="1:9" x14ac:dyDescent="0.2">
      <c r="B20" t="s">
        <v>635</v>
      </c>
      <c r="D20">
        <v>13.59</v>
      </c>
      <c r="E20">
        <v>96.2</v>
      </c>
      <c r="F20">
        <v>328.1</v>
      </c>
    </row>
    <row r="21" spans="1:9" x14ac:dyDescent="0.2">
      <c r="B21" t="s">
        <v>636</v>
      </c>
      <c r="D21">
        <v>9.0299999999999994</v>
      </c>
      <c r="E21">
        <v>96.9</v>
      </c>
      <c r="F21">
        <v>300.8</v>
      </c>
    </row>
    <row r="22" spans="1:9" x14ac:dyDescent="0.2">
      <c r="B22" t="s">
        <v>637</v>
      </c>
      <c r="D22">
        <v>16.32</v>
      </c>
      <c r="E22">
        <v>128.30000000000001</v>
      </c>
      <c r="F22">
        <v>406.7</v>
      </c>
    </row>
    <row r="23" spans="1:9" x14ac:dyDescent="0.2">
      <c r="B23" t="s">
        <v>638</v>
      </c>
      <c r="D23">
        <v>2.87</v>
      </c>
      <c r="E23">
        <v>68.2</v>
      </c>
      <c r="F23">
        <v>206.3</v>
      </c>
    </row>
    <row r="25" spans="1:9" x14ac:dyDescent="0.2">
      <c r="B25" t="s">
        <v>648</v>
      </c>
    </row>
    <row r="27" spans="1:9" x14ac:dyDescent="0.2">
      <c r="B27" t="s">
        <v>652</v>
      </c>
    </row>
    <row r="29" spans="1:9" x14ac:dyDescent="0.2">
      <c r="B29" s="45" t="s">
        <v>653</v>
      </c>
    </row>
    <row r="32" spans="1:9" x14ac:dyDescent="0.2">
      <c r="A32" s="7" t="s">
        <v>976</v>
      </c>
      <c r="B32" t="s">
        <v>654</v>
      </c>
    </row>
    <row r="33" spans="1:13" x14ac:dyDescent="0.2">
      <c r="A33" s="7" t="s">
        <v>977</v>
      </c>
      <c r="B33" t="s">
        <v>655</v>
      </c>
    </row>
    <row r="34" spans="1:13" x14ac:dyDescent="0.2">
      <c r="B34" s="7" t="s">
        <v>656</v>
      </c>
      <c r="C34" s="7" t="s">
        <v>658</v>
      </c>
      <c r="D34" s="7" t="s">
        <v>659</v>
      </c>
      <c r="E34" s="7" t="s">
        <v>660</v>
      </c>
      <c r="F34" s="7" t="s">
        <v>661</v>
      </c>
      <c r="G34" s="7" t="s">
        <v>662</v>
      </c>
      <c r="H34" s="7" t="s">
        <v>663</v>
      </c>
      <c r="I34" s="7" t="s">
        <v>664</v>
      </c>
      <c r="J34" s="7" t="s">
        <v>665</v>
      </c>
      <c r="K34" s="7" t="s">
        <v>666</v>
      </c>
      <c r="L34" s="7" t="s">
        <v>667</v>
      </c>
      <c r="M34" s="7"/>
    </row>
    <row r="35" spans="1:13" x14ac:dyDescent="0.2">
      <c r="B35" t="s">
        <v>657</v>
      </c>
      <c r="C35">
        <v>58.3</v>
      </c>
      <c r="D35">
        <v>9.5</v>
      </c>
      <c r="E35">
        <v>88.7</v>
      </c>
      <c r="F35">
        <v>36</v>
      </c>
      <c r="G35">
        <v>69.8</v>
      </c>
      <c r="H35">
        <v>30.5</v>
      </c>
      <c r="I35">
        <v>1.9</v>
      </c>
      <c r="J35">
        <v>4.4000000000000004</v>
      </c>
      <c r="K35">
        <v>4.0999999999999996</v>
      </c>
      <c r="L35">
        <v>4</v>
      </c>
    </row>
    <row r="37" spans="1:13" x14ac:dyDescent="0.2">
      <c r="A37" s="7" t="s">
        <v>976</v>
      </c>
      <c r="B37" t="s">
        <v>668</v>
      </c>
    </row>
    <row r="38" spans="1:13" x14ac:dyDescent="0.2">
      <c r="A38" s="7" t="s">
        <v>977</v>
      </c>
      <c r="B38" t="s">
        <v>682</v>
      </c>
    </row>
    <row r="40" spans="1:13" x14ac:dyDescent="0.2">
      <c r="A40" s="7" t="s">
        <v>976</v>
      </c>
      <c r="B40" t="s">
        <v>612</v>
      </c>
    </row>
    <row r="41" spans="1:13" x14ac:dyDescent="0.2">
      <c r="A41" s="7" t="s">
        <v>977</v>
      </c>
      <c r="B41" t="s">
        <v>613</v>
      </c>
    </row>
    <row r="42" spans="1:13" x14ac:dyDescent="0.2">
      <c r="B42" t="s">
        <v>614</v>
      </c>
    </row>
    <row r="44" spans="1:13" x14ac:dyDescent="0.2">
      <c r="B44" t="s">
        <v>615</v>
      </c>
    </row>
    <row r="46" spans="1:13" x14ac:dyDescent="0.2">
      <c r="A46" s="7" t="s">
        <v>976</v>
      </c>
      <c r="B46" t="s">
        <v>782</v>
      </c>
    </row>
    <row r="47" spans="1:13" x14ac:dyDescent="0.2">
      <c r="A47" s="7" t="s">
        <v>977</v>
      </c>
      <c r="B47" t="s">
        <v>797</v>
      </c>
    </row>
    <row r="48" spans="1:13" x14ac:dyDescent="0.2">
      <c r="B48" t="s">
        <v>798</v>
      </c>
    </row>
    <row r="49" spans="2:3" x14ac:dyDescent="0.2">
      <c r="B49" t="s">
        <v>799</v>
      </c>
    </row>
    <row r="50" spans="2:3" x14ac:dyDescent="0.2">
      <c r="B50" s="7" t="s">
        <v>801</v>
      </c>
      <c r="C50" s="7" t="s">
        <v>802</v>
      </c>
    </row>
    <row r="51" spans="2:3" x14ac:dyDescent="0.2">
      <c r="B51" t="s">
        <v>800</v>
      </c>
      <c r="C51" t="s">
        <v>803</v>
      </c>
    </row>
    <row r="52" spans="2:3" x14ac:dyDescent="0.2">
      <c r="B52" t="s">
        <v>804</v>
      </c>
      <c r="C52" t="s">
        <v>805</v>
      </c>
    </row>
    <row r="53" spans="2:3" x14ac:dyDescent="0.2">
      <c r="B53" t="s">
        <v>790</v>
      </c>
      <c r="C53" t="s">
        <v>806</v>
      </c>
    </row>
    <row r="54" spans="2:3" x14ac:dyDescent="0.2">
      <c r="B54" t="s">
        <v>807</v>
      </c>
      <c r="C54" t="s">
        <v>808</v>
      </c>
    </row>
    <row r="55" spans="2:3" x14ac:dyDescent="0.2">
      <c r="B55" t="s">
        <v>809</v>
      </c>
      <c r="C55" t="s">
        <v>810</v>
      </c>
    </row>
    <row r="56" spans="2:3" x14ac:dyDescent="0.2">
      <c r="B56" t="s">
        <v>811</v>
      </c>
      <c r="C56" t="s">
        <v>812</v>
      </c>
    </row>
    <row r="57" spans="2:3" x14ac:dyDescent="0.2">
      <c r="B57" t="s">
        <v>813</v>
      </c>
      <c r="C57" t="s">
        <v>814</v>
      </c>
    </row>
    <row r="59" spans="2:3" x14ac:dyDescent="0.2">
      <c r="B59" t="s">
        <v>815</v>
      </c>
    </row>
    <row r="60" spans="2:3" x14ac:dyDescent="0.2">
      <c r="B60" t="s">
        <v>816</v>
      </c>
    </row>
    <row r="62" spans="2:3" x14ac:dyDescent="0.2">
      <c r="B62" t="s">
        <v>820</v>
      </c>
    </row>
    <row r="63" spans="2:3" x14ac:dyDescent="0.2">
      <c r="B63" s="7" t="s">
        <v>801</v>
      </c>
      <c r="C63" s="7" t="s">
        <v>802</v>
      </c>
    </row>
    <row r="64" spans="2:3" x14ac:dyDescent="0.2">
      <c r="B64" t="s">
        <v>818</v>
      </c>
      <c r="C64" t="s">
        <v>822</v>
      </c>
    </row>
    <row r="65" spans="2:3" x14ac:dyDescent="0.2">
      <c r="B65" t="s">
        <v>819</v>
      </c>
      <c r="C65" t="s">
        <v>823</v>
      </c>
    </row>
    <row r="66" spans="2:3" x14ac:dyDescent="0.2">
      <c r="B66" t="s">
        <v>785</v>
      </c>
      <c r="C66" t="s">
        <v>821</v>
      </c>
    </row>
    <row r="67" spans="2:3" x14ac:dyDescent="0.2">
      <c r="B67" t="s">
        <v>824</v>
      </c>
      <c r="C67" t="s">
        <v>825</v>
      </c>
    </row>
    <row r="68" spans="2:3" x14ac:dyDescent="0.2">
      <c r="B68" t="s">
        <v>826</v>
      </c>
      <c r="C68" t="s">
        <v>827</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workbookViewId="0">
      <selection activeCell="A7" sqref="A7:B8"/>
    </sheetView>
  </sheetViews>
  <sheetFormatPr baseColWidth="10" defaultRowHeight="12.75" x14ac:dyDescent="0.2"/>
  <cols>
    <col min="1" max="1" width="19.42578125" bestFit="1" customWidth="1"/>
    <col min="2" max="256" width="9.140625" customWidth="1"/>
  </cols>
  <sheetData>
    <row r="1" spans="1:2" x14ac:dyDescent="0.2">
      <c r="A1" s="7" t="s">
        <v>976</v>
      </c>
      <c r="B1" t="s">
        <v>885</v>
      </c>
    </row>
    <row r="2" spans="1:2" x14ac:dyDescent="0.2">
      <c r="A2" s="7" t="s">
        <v>977</v>
      </c>
      <c r="B2" t="s">
        <v>886</v>
      </c>
    </row>
    <row r="4" spans="1:2" x14ac:dyDescent="0.2">
      <c r="B4" t="s">
        <v>893</v>
      </c>
    </row>
    <row r="7" spans="1:2" x14ac:dyDescent="0.2">
      <c r="A7" s="7" t="s">
        <v>976</v>
      </c>
      <c r="B7" s="2" t="s">
        <v>894</v>
      </c>
    </row>
    <row r="8" spans="1:2" x14ac:dyDescent="0.2">
      <c r="A8" s="7" t="s">
        <v>977</v>
      </c>
      <c r="B8" t="s">
        <v>892</v>
      </c>
    </row>
    <row r="10" spans="1:2" x14ac:dyDescent="0.2">
      <c r="B10" t="s">
        <v>895</v>
      </c>
    </row>
    <row r="12" spans="1:2" x14ac:dyDescent="0.2">
      <c r="B12" t="s">
        <v>899</v>
      </c>
    </row>
    <row r="13" spans="1:2" x14ac:dyDescent="0.2">
      <c r="B13" t="s">
        <v>900</v>
      </c>
    </row>
    <row r="17" spans="1:2" x14ac:dyDescent="0.2">
      <c r="A17" s="7" t="s">
        <v>976</v>
      </c>
      <c r="B17" s="2" t="s">
        <v>891</v>
      </c>
    </row>
    <row r="18" spans="1:2" x14ac:dyDescent="0.2">
      <c r="A18" s="7" t="s">
        <v>977</v>
      </c>
      <c r="B18" t="s">
        <v>892</v>
      </c>
    </row>
    <row r="19" spans="1:2" ht="11.25" customHeight="1" x14ac:dyDescent="0.2"/>
    <row r="21" spans="1:2" ht="18.75" customHeight="1" x14ac:dyDescent="0.2">
      <c r="A21" s="7" t="s">
        <v>976</v>
      </c>
      <c r="B21" s="1" t="s">
        <v>889</v>
      </c>
    </row>
    <row r="22" spans="1:2" x14ac:dyDescent="0.2">
      <c r="A22" s="7" t="s">
        <v>977</v>
      </c>
      <c r="B22" t="s">
        <v>890</v>
      </c>
    </row>
    <row r="27" spans="1:2" x14ac:dyDescent="0.2">
      <c r="A27" s="7" t="s">
        <v>976</v>
      </c>
      <c r="B27" t="s">
        <v>887</v>
      </c>
    </row>
    <row r="28" spans="1:2" x14ac:dyDescent="0.2">
      <c r="A28" s="7" t="s">
        <v>977</v>
      </c>
      <c r="B28" t="s">
        <v>888</v>
      </c>
    </row>
    <row r="30" spans="1:2" x14ac:dyDescent="0.2">
      <c r="A30" s="7" t="s">
        <v>976</v>
      </c>
      <c r="B30" t="s">
        <v>668</v>
      </c>
    </row>
    <row r="31" spans="1:2" x14ac:dyDescent="0.2">
      <c r="A31" s="7" t="s">
        <v>977</v>
      </c>
      <c r="B31" t="s">
        <v>680</v>
      </c>
    </row>
    <row r="34" spans="1:2" x14ac:dyDescent="0.2">
      <c r="A34" s="7" t="s">
        <v>23</v>
      </c>
      <c r="B34" t="s">
        <v>24</v>
      </c>
    </row>
    <row r="35" spans="1:2" x14ac:dyDescent="0.2">
      <c r="A35" s="7"/>
      <c r="B35" s="11" t="s">
        <v>25</v>
      </c>
    </row>
    <row r="36" spans="1:2" x14ac:dyDescent="0.2">
      <c r="B36" s="10"/>
    </row>
  </sheetData>
  <phoneticPr fontId="2" type="noConversion"/>
  <pageMargins left="0.78740157499999996" right="0.78740157499999996" top="0.984251969" bottom="0.984251969" header="0.5" footer="0.5"/>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activeCell="C36" sqref="C36"/>
    </sheetView>
  </sheetViews>
  <sheetFormatPr baseColWidth="10" defaultRowHeight="12.75" x14ac:dyDescent="0.2"/>
  <cols>
    <col min="1" max="256" width="9.140625" customWidth="1"/>
  </cols>
  <sheetData>
    <row r="1" spans="1:4" x14ac:dyDescent="0.2">
      <c r="A1" s="7" t="s">
        <v>976</v>
      </c>
      <c r="B1" t="s">
        <v>221</v>
      </c>
    </row>
    <row r="2" spans="1:4" x14ac:dyDescent="0.2">
      <c r="A2" s="7" t="s">
        <v>977</v>
      </c>
      <c r="B2" t="s">
        <v>466</v>
      </c>
    </row>
    <row r="3" spans="1:4" x14ac:dyDescent="0.2">
      <c r="B3" s="7" t="s">
        <v>470</v>
      </c>
      <c r="C3" s="7" t="s">
        <v>469</v>
      </c>
    </row>
    <row r="4" spans="1:4" x14ac:dyDescent="0.2">
      <c r="B4">
        <v>1985</v>
      </c>
      <c r="C4" t="s">
        <v>467</v>
      </c>
    </row>
    <row r="5" spans="1:4" x14ac:dyDescent="0.2">
      <c r="B5">
        <v>1986</v>
      </c>
      <c r="C5" t="s">
        <v>468</v>
      </c>
    </row>
    <row r="7" spans="1:4" x14ac:dyDescent="0.2">
      <c r="A7" s="7" t="s">
        <v>976</v>
      </c>
      <c r="B7" t="s">
        <v>622</v>
      </c>
    </row>
    <row r="8" spans="1:4" x14ac:dyDescent="0.2">
      <c r="A8" s="7" t="s">
        <v>977</v>
      </c>
      <c r="B8" t="s">
        <v>623</v>
      </c>
    </row>
    <row r="9" spans="1:4" x14ac:dyDescent="0.2">
      <c r="B9" t="s">
        <v>624</v>
      </c>
    </row>
    <row r="11" spans="1:4" x14ac:dyDescent="0.2">
      <c r="A11" s="7" t="s">
        <v>976</v>
      </c>
      <c r="B11" t="s">
        <v>695</v>
      </c>
    </row>
    <row r="12" spans="1:4" x14ac:dyDescent="0.2">
      <c r="A12" s="7" t="s">
        <v>977</v>
      </c>
      <c r="B12" t="s">
        <v>702</v>
      </c>
    </row>
    <row r="13" spans="1:4" x14ac:dyDescent="0.2">
      <c r="C13" t="s">
        <v>699</v>
      </c>
      <c r="D13" t="s">
        <v>67</v>
      </c>
    </row>
    <row r="14" spans="1:4" x14ac:dyDescent="0.2">
      <c r="B14" t="s">
        <v>698</v>
      </c>
      <c r="C14">
        <v>8.6999999999999993</v>
      </c>
      <c r="D14">
        <v>17.100000000000001</v>
      </c>
    </row>
    <row r="15" spans="1:4" x14ac:dyDescent="0.2">
      <c r="B15" t="s">
        <v>700</v>
      </c>
      <c r="C15">
        <v>4.5999999999999996</v>
      </c>
      <c r="D15">
        <v>5.5</v>
      </c>
    </row>
    <row r="16" spans="1:4" x14ac:dyDescent="0.2">
      <c r="B16" t="s">
        <v>701</v>
      </c>
      <c r="C16">
        <v>6</v>
      </c>
      <c r="D16">
        <v>10.1</v>
      </c>
    </row>
    <row r="19" spans="1:12" x14ac:dyDescent="0.2">
      <c r="B19" t="s">
        <v>717</v>
      </c>
    </row>
    <row r="21" spans="1:12" x14ac:dyDescent="0.2">
      <c r="A21" s="7" t="s">
        <v>976</v>
      </c>
      <c r="B21" t="s">
        <v>494</v>
      </c>
    </row>
    <row r="22" spans="1:12" x14ac:dyDescent="0.2">
      <c r="A22" s="7" t="s">
        <v>977</v>
      </c>
      <c r="B22" t="s">
        <v>495</v>
      </c>
    </row>
    <row r="23" spans="1:12" x14ac:dyDescent="0.2">
      <c r="C23" s="87" t="s">
        <v>499</v>
      </c>
      <c r="D23" s="87"/>
      <c r="G23" s="87" t="s">
        <v>519</v>
      </c>
      <c r="H23" s="87"/>
      <c r="I23" s="87"/>
      <c r="J23" s="87" t="s">
        <v>520</v>
      </c>
      <c r="K23" s="87"/>
      <c r="L23" s="87"/>
    </row>
    <row r="24" spans="1:12" x14ac:dyDescent="0.2">
      <c r="B24" s="7" t="s">
        <v>496</v>
      </c>
      <c r="C24" s="7" t="s">
        <v>497</v>
      </c>
      <c r="D24" s="7" t="s">
        <v>498</v>
      </c>
      <c r="E24" s="7" t="s">
        <v>509</v>
      </c>
      <c r="F24" s="7" t="s">
        <v>515</v>
      </c>
      <c r="G24" s="7" t="s">
        <v>517</v>
      </c>
      <c r="H24" s="7" t="s">
        <v>518</v>
      </c>
      <c r="I24" s="7" t="s">
        <v>516</v>
      </c>
      <c r="J24" s="7" t="s">
        <v>517</v>
      </c>
      <c r="K24" s="7" t="s">
        <v>518</v>
      </c>
    </row>
    <row r="25" spans="1:12" x14ac:dyDescent="0.2">
      <c r="B25">
        <v>13</v>
      </c>
      <c r="C25" t="s">
        <v>500</v>
      </c>
      <c r="D25" t="s">
        <v>505</v>
      </c>
      <c r="E25" t="s">
        <v>510</v>
      </c>
    </row>
    <row r="26" spans="1:12" x14ac:dyDescent="0.2">
      <c r="B26">
        <v>24</v>
      </c>
      <c r="C26" t="s">
        <v>501</v>
      </c>
      <c r="D26" t="s">
        <v>504</v>
      </c>
      <c r="E26" t="s">
        <v>511</v>
      </c>
    </row>
    <row r="27" spans="1:12" x14ac:dyDescent="0.2">
      <c r="B27">
        <v>44</v>
      </c>
      <c r="C27" t="s">
        <v>502</v>
      </c>
      <c r="D27" t="s">
        <v>506</v>
      </c>
      <c r="E27" t="s">
        <v>512</v>
      </c>
    </row>
    <row r="28" spans="1:12" x14ac:dyDescent="0.2">
      <c r="B28">
        <v>75</v>
      </c>
      <c r="C28" t="s">
        <v>503</v>
      </c>
      <c r="D28" t="s">
        <v>507</v>
      </c>
      <c r="E28" t="s">
        <v>513</v>
      </c>
    </row>
    <row r="29" spans="1:12" x14ac:dyDescent="0.2">
      <c r="B29">
        <v>97</v>
      </c>
      <c r="C29" t="s">
        <v>504</v>
      </c>
      <c r="D29" t="s">
        <v>508</v>
      </c>
      <c r="E29" t="s">
        <v>514</v>
      </c>
    </row>
    <row r="31" spans="1:12" x14ac:dyDescent="0.2">
      <c r="B31" t="s">
        <v>521</v>
      </c>
    </row>
    <row r="33" spans="2:2" x14ac:dyDescent="0.2">
      <c r="B33" t="s">
        <v>522</v>
      </c>
    </row>
  </sheetData>
  <mergeCells count="3">
    <mergeCell ref="C23:D23"/>
    <mergeCell ref="G23:I23"/>
    <mergeCell ref="J23:L23"/>
  </mergeCells>
  <phoneticPr fontId="2" type="noConversion"/>
  <pageMargins left="0.78740157499999996" right="0.78740157499999996" top="0.984251969" bottom="0.984251969"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3" sqref="A13:B15"/>
    </sheetView>
  </sheetViews>
  <sheetFormatPr baseColWidth="10" defaultRowHeight="12.75" x14ac:dyDescent="0.2"/>
  <cols>
    <col min="1" max="256" width="9.140625" customWidth="1"/>
  </cols>
  <sheetData>
    <row r="1" spans="1:3" x14ac:dyDescent="0.2">
      <c r="A1" s="7" t="s">
        <v>976</v>
      </c>
      <c r="B1" t="s">
        <v>964</v>
      </c>
    </row>
    <row r="2" spans="1:3" x14ac:dyDescent="0.2">
      <c r="A2" s="7" t="s">
        <v>977</v>
      </c>
      <c r="B2" t="s">
        <v>460</v>
      </c>
    </row>
    <row r="3" spans="1:3" x14ac:dyDescent="0.2">
      <c r="B3" s="7" t="s">
        <v>461</v>
      </c>
      <c r="C3" s="7" t="s">
        <v>462</v>
      </c>
    </row>
    <row r="4" spans="1:3" x14ac:dyDescent="0.2">
      <c r="B4" t="s">
        <v>966</v>
      </c>
      <c r="C4">
        <v>8.1999999999999993</v>
      </c>
    </row>
    <row r="5" spans="1:3" x14ac:dyDescent="0.2">
      <c r="B5" t="s">
        <v>965</v>
      </c>
      <c r="C5">
        <v>8</v>
      </c>
    </row>
    <row r="6" spans="1:3" x14ac:dyDescent="0.2">
      <c r="B6" t="s">
        <v>967</v>
      </c>
      <c r="C6">
        <v>6.9</v>
      </c>
    </row>
    <row r="8" spans="1:3" x14ac:dyDescent="0.2">
      <c r="A8" s="7" t="s">
        <v>976</v>
      </c>
      <c r="B8" t="s">
        <v>221</v>
      </c>
    </row>
    <row r="9" spans="1:3" x14ac:dyDescent="0.2">
      <c r="A9" s="7" t="s">
        <v>977</v>
      </c>
      <c r="B9" t="s">
        <v>466</v>
      </c>
    </row>
    <row r="10" spans="1:3" x14ac:dyDescent="0.2">
      <c r="B10" s="7"/>
      <c r="C10" s="7" t="s">
        <v>472</v>
      </c>
    </row>
    <row r="11" spans="1:3" x14ac:dyDescent="0.2">
      <c r="C11">
        <v>5310</v>
      </c>
    </row>
  </sheetData>
  <phoneticPr fontId="2" type="noConversion"/>
  <pageMargins left="0.78740157499999996" right="0.78740157499999996" top="0.984251969" bottom="0.984251969"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topLeftCell="A7" workbookViewId="0">
      <selection activeCell="B44" sqref="B44:E51"/>
    </sheetView>
  </sheetViews>
  <sheetFormatPr baseColWidth="10" defaultRowHeight="12.75" x14ac:dyDescent="0.2"/>
  <cols>
    <col min="1" max="256" width="9.140625" customWidth="1"/>
  </cols>
  <sheetData>
    <row r="1" spans="1:7" x14ac:dyDescent="0.2">
      <c r="A1" s="7" t="s">
        <v>976</v>
      </c>
      <c r="B1" t="s">
        <v>970</v>
      </c>
    </row>
    <row r="2" spans="1:7" x14ac:dyDescent="0.2">
      <c r="A2" s="7" t="s">
        <v>977</v>
      </c>
      <c r="B2" t="s">
        <v>490</v>
      </c>
    </row>
    <row r="3" spans="1:7" x14ac:dyDescent="0.2">
      <c r="B3" t="s">
        <v>491</v>
      </c>
    </row>
    <row r="5" spans="1:7" x14ac:dyDescent="0.2">
      <c r="B5" s="45" t="s">
        <v>492</v>
      </c>
    </row>
    <row r="8" spans="1:7" x14ac:dyDescent="0.2">
      <c r="A8" s="7" t="s">
        <v>976</v>
      </c>
      <c r="B8" t="s">
        <v>622</v>
      </c>
    </row>
    <row r="9" spans="1:7" x14ac:dyDescent="0.2">
      <c r="A9" s="7" t="s">
        <v>977</v>
      </c>
      <c r="B9" t="s">
        <v>623</v>
      </c>
    </row>
    <row r="10" spans="1:7" x14ac:dyDescent="0.2">
      <c r="B10" t="s">
        <v>626</v>
      </c>
    </row>
    <row r="11" spans="1:7" x14ac:dyDescent="0.2">
      <c r="B11" t="s">
        <v>625</v>
      </c>
    </row>
    <row r="12" spans="1:7" x14ac:dyDescent="0.2">
      <c r="B12" t="s">
        <v>629</v>
      </c>
    </row>
    <row r="14" spans="1:7" x14ac:dyDescent="0.2">
      <c r="A14" s="7" t="s">
        <v>976</v>
      </c>
      <c r="B14" t="s">
        <v>524</v>
      </c>
    </row>
    <row r="15" spans="1:7" x14ac:dyDescent="0.2">
      <c r="A15" s="7" t="s">
        <v>977</v>
      </c>
      <c r="B15" t="s">
        <v>525</v>
      </c>
    </row>
    <row r="16" spans="1:7" x14ac:dyDescent="0.2">
      <c r="B16" s="7"/>
      <c r="C16" s="7"/>
      <c r="D16" s="87" t="s">
        <v>531</v>
      </c>
      <c r="E16" s="87"/>
      <c r="F16" s="87" t="s">
        <v>532</v>
      </c>
      <c r="G16" s="87"/>
    </row>
    <row r="17" spans="2:10" x14ac:dyDescent="0.2">
      <c r="B17" s="7" t="s">
        <v>527</v>
      </c>
      <c r="C17" s="7" t="s">
        <v>526</v>
      </c>
      <c r="D17" s="7" t="s">
        <v>533</v>
      </c>
      <c r="E17" s="7" t="s">
        <v>534</v>
      </c>
      <c r="F17" s="7" t="s">
        <v>533</v>
      </c>
      <c r="G17" s="7" t="s">
        <v>534</v>
      </c>
    </row>
    <row r="18" spans="2:10" x14ac:dyDescent="0.2">
      <c r="B18">
        <v>-10</v>
      </c>
      <c r="C18" s="75" t="s">
        <v>528</v>
      </c>
      <c r="D18" t="s">
        <v>535</v>
      </c>
      <c r="F18" t="s">
        <v>547</v>
      </c>
    </row>
    <row r="19" spans="2:10" x14ac:dyDescent="0.2">
      <c r="C19" s="10" t="s">
        <v>529</v>
      </c>
      <c r="D19" t="s">
        <v>536</v>
      </c>
      <c r="F19" t="s">
        <v>548</v>
      </c>
    </row>
    <row r="20" spans="2:10" x14ac:dyDescent="0.2">
      <c r="C20" t="s">
        <v>530</v>
      </c>
      <c r="D20" t="s">
        <v>537</v>
      </c>
      <c r="E20" t="s">
        <v>544</v>
      </c>
      <c r="F20" t="s">
        <v>549</v>
      </c>
      <c r="G20" t="s">
        <v>556</v>
      </c>
    </row>
    <row r="21" spans="2:10" x14ac:dyDescent="0.2">
      <c r="B21">
        <v>0</v>
      </c>
      <c r="C21" s="75" t="s">
        <v>528</v>
      </c>
      <c r="D21" t="s">
        <v>538</v>
      </c>
      <c r="F21" t="s">
        <v>550</v>
      </c>
    </row>
    <row r="22" spans="2:10" x14ac:dyDescent="0.2">
      <c r="C22" s="10" t="s">
        <v>529</v>
      </c>
      <c r="D22" t="s">
        <v>539</v>
      </c>
      <c r="F22" t="s">
        <v>551</v>
      </c>
    </row>
    <row r="23" spans="2:10" x14ac:dyDescent="0.2">
      <c r="C23" t="s">
        <v>530</v>
      </c>
      <c r="D23" t="s">
        <v>540</v>
      </c>
      <c r="E23" s="10" t="s">
        <v>545</v>
      </c>
      <c r="F23" t="s">
        <v>552</v>
      </c>
      <c r="G23" t="s">
        <v>557</v>
      </c>
    </row>
    <row r="24" spans="2:10" x14ac:dyDescent="0.2">
      <c r="B24">
        <v>20</v>
      </c>
      <c r="C24" s="75" t="s">
        <v>528</v>
      </c>
      <c r="D24" t="s">
        <v>541</v>
      </c>
      <c r="F24" t="s">
        <v>553</v>
      </c>
    </row>
    <row r="25" spans="2:10" x14ac:dyDescent="0.2">
      <c r="C25" s="10" t="s">
        <v>529</v>
      </c>
      <c r="D25" t="s">
        <v>542</v>
      </c>
      <c r="F25" t="s">
        <v>554</v>
      </c>
    </row>
    <row r="26" spans="2:10" x14ac:dyDescent="0.2">
      <c r="C26" t="s">
        <v>530</v>
      </c>
      <c r="D26" t="s">
        <v>543</v>
      </c>
      <c r="E26" t="s">
        <v>546</v>
      </c>
      <c r="F26" t="s">
        <v>555</v>
      </c>
      <c r="G26" t="s">
        <v>558</v>
      </c>
    </row>
    <row r="28" spans="2:10" x14ac:dyDescent="0.2">
      <c r="B28" t="s">
        <v>559</v>
      </c>
    </row>
    <row r="29" spans="2:10" x14ac:dyDescent="0.2">
      <c r="B29" s="7"/>
      <c r="C29" s="7"/>
      <c r="D29" s="87" t="s">
        <v>531</v>
      </c>
      <c r="E29" s="87"/>
      <c r="H29" s="87" t="s">
        <v>532</v>
      </c>
      <c r="I29" s="87"/>
    </row>
    <row r="30" spans="2:10" x14ac:dyDescent="0.2">
      <c r="B30" s="7" t="s">
        <v>527</v>
      </c>
      <c r="C30" s="7" t="s">
        <v>526</v>
      </c>
      <c r="D30" s="7" t="s">
        <v>533</v>
      </c>
      <c r="E30" s="7" t="s">
        <v>560</v>
      </c>
      <c r="F30" s="7" t="s">
        <v>561</v>
      </c>
      <c r="H30" s="7" t="s">
        <v>533</v>
      </c>
      <c r="I30" s="7" t="s">
        <v>560</v>
      </c>
      <c r="J30" s="7" t="s">
        <v>561</v>
      </c>
    </row>
    <row r="31" spans="2:10" x14ac:dyDescent="0.2">
      <c r="B31">
        <v>-10</v>
      </c>
      <c r="C31" s="75" t="s">
        <v>528</v>
      </c>
      <c r="D31" t="s">
        <v>562</v>
      </c>
      <c r="E31" t="s">
        <v>571</v>
      </c>
      <c r="H31" t="s">
        <v>583</v>
      </c>
      <c r="I31" t="s">
        <v>592</v>
      </c>
    </row>
    <row r="32" spans="2:10" x14ac:dyDescent="0.2">
      <c r="C32" s="10" t="s">
        <v>529</v>
      </c>
      <c r="D32" t="s">
        <v>563</v>
      </c>
      <c r="E32" t="s">
        <v>572</v>
      </c>
      <c r="H32" t="s">
        <v>584</v>
      </c>
      <c r="I32" t="s">
        <v>593</v>
      </c>
    </row>
    <row r="33" spans="1:10" x14ac:dyDescent="0.2">
      <c r="C33" t="s">
        <v>530</v>
      </c>
      <c r="D33" t="s">
        <v>564</v>
      </c>
      <c r="E33" t="s">
        <v>573</v>
      </c>
      <c r="F33" t="s">
        <v>580</v>
      </c>
      <c r="H33" t="s">
        <v>585</v>
      </c>
      <c r="I33" t="s">
        <v>594</v>
      </c>
      <c r="J33" t="s">
        <v>601</v>
      </c>
    </row>
    <row r="34" spans="1:10" x14ac:dyDescent="0.2">
      <c r="B34">
        <v>0</v>
      </c>
      <c r="C34" s="75" t="s">
        <v>528</v>
      </c>
      <c r="D34" t="s">
        <v>565</v>
      </c>
      <c r="E34" t="s">
        <v>574</v>
      </c>
      <c r="H34" s="10" t="s">
        <v>586</v>
      </c>
      <c r="I34" t="s">
        <v>595</v>
      </c>
    </row>
    <row r="35" spans="1:10" x14ac:dyDescent="0.2">
      <c r="C35" s="10" t="s">
        <v>529</v>
      </c>
      <c r="D35" t="s">
        <v>566</v>
      </c>
      <c r="E35" t="s">
        <v>575</v>
      </c>
      <c r="H35" t="s">
        <v>587</v>
      </c>
      <c r="I35" t="s">
        <v>596</v>
      </c>
    </row>
    <row r="36" spans="1:10" x14ac:dyDescent="0.2">
      <c r="C36" t="s">
        <v>530</v>
      </c>
      <c r="D36" t="s">
        <v>567</v>
      </c>
      <c r="E36" s="10" t="s">
        <v>576</v>
      </c>
      <c r="F36" t="s">
        <v>581</v>
      </c>
      <c r="H36" t="s">
        <v>588</v>
      </c>
      <c r="I36" t="s">
        <v>597</v>
      </c>
      <c r="J36" t="s">
        <v>602</v>
      </c>
    </row>
    <row r="37" spans="1:10" x14ac:dyDescent="0.2">
      <c r="B37">
        <v>20</v>
      </c>
      <c r="C37" s="75" t="s">
        <v>528</v>
      </c>
      <c r="D37" t="s">
        <v>568</v>
      </c>
      <c r="E37" t="s">
        <v>577</v>
      </c>
      <c r="H37" t="s">
        <v>589</v>
      </c>
      <c r="I37" t="s">
        <v>598</v>
      </c>
    </row>
    <row r="38" spans="1:10" x14ac:dyDescent="0.2">
      <c r="C38" s="10" t="s">
        <v>529</v>
      </c>
      <c r="D38" t="s">
        <v>569</v>
      </c>
      <c r="E38" t="s">
        <v>578</v>
      </c>
      <c r="H38" t="s">
        <v>590</v>
      </c>
      <c r="I38" t="s">
        <v>599</v>
      </c>
    </row>
    <row r="39" spans="1:10" x14ac:dyDescent="0.2">
      <c r="C39" t="s">
        <v>530</v>
      </c>
      <c r="D39" t="s">
        <v>570</v>
      </c>
      <c r="E39" t="s">
        <v>579</v>
      </c>
      <c r="F39" t="s">
        <v>582</v>
      </c>
      <c r="H39" t="s">
        <v>591</v>
      </c>
      <c r="I39" t="s">
        <v>600</v>
      </c>
      <c r="J39" t="s">
        <v>603</v>
      </c>
    </row>
    <row r="41" spans="1:10" x14ac:dyDescent="0.2">
      <c r="A41" t="s">
        <v>605</v>
      </c>
      <c r="B41" t="s">
        <v>606</v>
      </c>
    </row>
    <row r="42" spans="1:10" x14ac:dyDescent="0.2">
      <c r="B42" t="s">
        <v>607</v>
      </c>
    </row>
    <row r="44" spans="1:10" x14ac:dyDescent="0.2">
      <c r="B44" t="s">
        <v>611</v>
      </c>
    </row>
    <row r="45" spans="1:10" x14ac:dyDescent="0.2">
      <c r="D45" t="s">
        <v>608</v>
      </c>
    </row>
    <row r="46" spans="1:10" x14ac:dyDescent="0.2">
      <c r="B46" t="s">
        <v>609</v>
      </c>
      <c r="C46" s="75" t="s">
        <v>528</v>
      </c>
      <c r="D46">
        <v>515</v>
      </c>
    </row>
    <row r="47" spans="1:10" x14ac:dyDescent="0.2">
      <c r="C47" s="10" t="s">
        <v>529</v>
      </c>
      <c r="D47">
        <v>719</v>
      </c>
    </row>
    <row r="48" spans="1:10" x14ac:dyDescent="0.2">
      <c r="C48" t="s">
        <v>530</v>
      </c>
      <c r="D48">
        <v>1012</v>
      </c>
    </row>
    <row r="49" spans="2:4" x14ac:dyDescent="0.2">
      <c r="B49" t="s">
        <v>610</v>
      </c>
      <c r="C49" s="75" t="s">
        <v>528</v>
      </c>
      <c r="D49">
        <v>368</v>
      </c>
    </row>
    <row r="50" spans="2:4" x14ac:dyDescent="0.2">
      <c r="C50" s="10" t="s">
        <v>529</v>
      </c>
      <c r="D50">
        <v>564</v>
      </c>
    </row>
    <row r="51" spans="2:4" x14ac:dyDescent="0.2">
      <c r="C51" t="s">
        <v>530</v>
      </c>
      <c r="D51">
        <v>633</v>
      </c>
    </row>
  </sheetData>
  <mergeCells count="4">
    <mergeCell ref="D16:E16"/>
    <mergeCell ref="F16:G16"/>
    <mergeCell ref="D29:E29"/>
    <mergeCell ref="H29:I29"/>
  </mergeCells>
  <phoneticPr fontId="2" type="noConversion"/>
  <pageMargins left="0.78740157499999996" right="0.78740157499999996" top="0.984251969" bottom="0.984251969" header="0.5" footer="0.5"/>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B14" sqref="B14"/>
    </sheetView>
  </sheetViews>
  <sheetFormatPr baseColWidth="10" defaultRowHeight="12.75" x14ac:dyDescent="0.2"/>
  <cols>
    <col min="1" max="256" width="9.140625" customWidth="1"/>
  </cols>
  <sheetData>
    <row r="1" spans="1:4" x14ac:dyDescent="0.2">
      <c r="A1" s="7" t="s">
        <v>976</v>
      </c>
      <c r="B1" t="s">
        <v>622</v>
      </c>
    </row>
    <row r="2" spans="1:4" x14ac:dyDescent="0.2">
      <c r="A2" s="7" t="s">
        <v>977</v>
      </c>
      <c r="B2" t="s">
        <v>623</v>
      </c>
    </row>
    <row r="3" spans="1:4" x14ac:dyDescent="0.2">
      <c r="B3" t="s">
        <v>628</v>
      </c>
    </row>
    <row r="4" spans="1:4" x14ac:dyDescent="0.2">
      <c r="B4" t="s">
        <v>629</v>
      </c>
    </row>
    <row r="7" spans="1:4" x14ac:dyDescent="0.2">
      <c r="A7" s="7" t="s">
        <v>976</v>
      </c>
      <c r="B7" t="s">
        <v>695</v>
      </c>
    </row>
    <row r="8" spans="1:4" x14ac:dyDescent="0.2">
      <c r="A8" s="7" t="s">
        <v>977</v>
      </c>
      <c r="B8" t="s">
        <v>702</v>
      </c>
    </row>
    <row r="9" spans="1:4" x14ac:dyDescent="0.2">
      <c r="C9" t="s">
        <v>699</v>
      </c>
      <c r="D9" t="s">
        <v>67</v>
      </c>
    </row>
    <row r="10" spans="1:4" x14ac:dyDescent="0.2">
      <c r="B10" t="s">
        <v>698</v>
      </c>
      <c r="C10">
        <v>8.6999999999999993</v>
      </c>
      <c r="D10">
        <v>17.100000000000001</v>
      </c>
    </row>
    <row r="11" spans="1:4" x14ac:dyDescent="0.2">
      <c r="B11" t="s">
        <v>700</v>
      </c>
      <c r="C11">
        <v>4.5999999999999996</v>
      </c>
      <c r="D11">
        <v>5.5</v>
      </c>
    </row>
    <row r="12" spans="1:4" x14ac:dyDescent="0.2">
      <c r="B12" t="s">
        <v>701</v>
      </c>
      <c r="C12">
        <v>6</v>
      </c>
      <c r="D12">
        <v>10.1</v>
      </c>
    </row>
    <row r="14" spans="1:4" x14ac:dyDescent="0.2">
      <c r="B14" t="s">
        <v>717</v>
      </c>
    </row>
  </sheetData>
  <phoneticPr fontId="2" type="noConversion"/>
  <pageMargins left="0.78740157499999996" right="0.78740157499999996" top="0.984251969" bottom="0.984251969"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workbookViewId="0">
      <selection sqref="A1:A2"/>
    </sheetView>
  </sheetViews>
  <sheetFormatPr baseColWidth="10" defaultRowHeight="12.75" x14ac:dyDescent="0.2"/>
  <cols>
    <col min="1" max="1" width="10.28515625" bestFit="1" customWidth="1"/>
    <col min="2" max="256" width="9.140625" customWidth="1"/>
  </cols>
  <sheetData>
    <row r="1" spans="1:2" x14ac:dyDescent="0.2">
      <c r="A1" s="7" t="s">
        <v>976</v>
      </c>
      <c r="B1" t="s">
        <v>975</v>
      </c>
    </row>
    <row r="2" spans="1:2" x14ac:dyDescent="0.2">
      <c r="A2" s="7" t="s">
        <v>977</v>
      </c>
      <c r="B2" t="s">
        <v>877</v>
      </c>
    </row>
    <row r="3" spans="1:2" x14ac:dyDescent="0.2">
      <c r="B3" t="s">
        <v>879</v>
      </c>
    </row>
    <row r="4" spans="1:2" x14ac:dyDescent="0.2">
      <c r="B4" t="s">
        <v>878</v>
      </c>
    </row>
    <row r="6" spans="1:2" x14ac:dyDescent="0.2">
      <c r="B6" t="s">
        <v>880</v>
      </c>
    </row>
    <row r="8" spans="1:2" x14ac:dyDescent="0.2">
      <c r="B8" t="s">
        <v>881</v>
      </c>
    </row>
    <row r="9" spans="1:2" x14ac:dyDescent="0.2">
      <c r="B9" t="s">
        <v>882</v>
      </c>
    </row>
    <row r="11" spans="1:2" x14ac:dyDescent="0.2">
      <c r="B11" t="s">
        <v>884</v>
      </c>
    </row>
    <row r="17" spans="1:2" x14ac:dyDescent="0.2">
      <c r="A17" s="7" t="s">
        <v>976</v>
      </c>
      <c r="B17" t="s">
        <v>883</v>
      </c>
    </row>
    <row r="18" spans="1:2" x14ac:dyDescent="0.2">
      <c r="A18" s="7" t="s">
        <v>977</v>
      </c>
      <c r="B18" t="s">
        <v>978</v>
      </c>
    </row>
    <row r="19" spans="1:2" x14ac:dyDescent="0.2">
      <c r="B19" t="s">
        <v>979</v>
      </c>
    </row>
    <row r="22" spans="1:2" x14ac:dyDescent="0.2">
      <c r="A22" s="7" t="s">
        <v>976</v>
      </c>
      <c r="B22" t="s">
        <v>224</v>
      </c>
    </row>
    <row r="23" spans="1:2" x14ac:dyDescent="0.2">
      <c r="A23" s="7"/>
      <c r="B23" t="s">
        <v>251</v>
      </c>
    </row>
    <row r="24" spans="1:2" x14ac:dyDescent="0.2">
      <c r="A24" s="7" t="s">
        <v>977</v>
      </c>
      <c r="B24" s="29" t="s">
        <v>231</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opLeftCell="A6" workbookViewId="0">
      <selection activeCell="B42" sqref="A39:B42"/>
    </sheetView>
  </sheetViews>
  <sheetFormatPr baseColWidth="10" defaultRowHeight="12.75" x14ac:dyDescent="0.2"/>
  <cols>
    <col min="1" max="1" width="11.28515625" bestFit="1" customWidth="1"/>
    <col min="2" max="256" width="9.140625" customWidth="1"/>
  </cols>
  <sheetData>
    <row r="1" spans="1:2" x14ac:dyDescent="0.2">
      <c r="A1" s="7" t="s">
        <v>976</v>
      </c>
      <c r="B1" t="s">
        <v>901</v>
      </c>
    </row>
    <row r="2" spans="1:2" x14ac:dyDescent="0.2">
      <c r="A2" s="7" t="s">
        <v>977</v>
      </c>
      <c r="B2" t="s">
        <v>911</v>
      </c>
    </row>
    <row r="3" spans="1:2" x14ac:dyDescent="0.2">
      <c r="B3" t="s">
        <v>913</v>
      </c>
    </row>
    <row r="4" spans="1:2" x14ac:dyDescent="0.2">
      <c r="B4" t="s">
        <v>912</v>
      </c>
    </row>
    <row r="6" spans="1:2" x14ac:dyDescent="0.2">
      <c r="A6" s="7" t="s">
        <v>976</v>
      </c>
      <c r="B6" t="s">
        <v>916</v>
      </c>
    </row>
    <row r="7" spans="1:2" x14ac:dyDescent="0.2">
      <c r="A7" s="7" t="s">
        <v>977</v>
      </c>
      <c r="B7" t="s">
        <v>917</v>
      </c>
    </row>
    <row r="10" spans="1:2" x14ac:dyDescent="0.2">
      <c r="A10" s="7" t="s">
        <v>976</v>
      </c>
      <c r="B10" t="s">
        <v>986</v>
      </c>
    </row>
    <row r="11" spans="1:2" x14ac:dyDescent="0.2">
      <c r="A11" s="7" t="s">
        <v>977</v>
      </c>
      <c r="B11" t="s">
        <v>914</v>
      </c>
    </row>
    <row r="12" spans="1:2" x14ac:dyDescent="0.2">
      <c r="B12" t="s">
        <v>915</v>
      </c>
    </row>
    <row r="14" spans="1:2" x14ac:dyDescent="0.2">
      <c r="A14" s="7" t="s">
        <v>976</v>
      </c>
      <c r="B14" t="s">
        <v>0</v>
      </c>
    </row>
    <row r="15" spans="1:2" x14ac:dyDescent="0.2">
      <c r="A15" s="7" t="s">
        <v>977</v>
      </c>
      <c r="B15" t="s">
        <v>921</v>
      </c>
    </row>
    <row r="16" spans="1:2" x14ac:dyDescent="0.2">
      <c r="B16" t="s">
        <v>922</v>
      </c>
    </row>
    <row r="17" spans="1:4" x14ac:dyDescent="0.2">
      <c r="B17" t="s">
        <v>923</v>
      </c>
    </row>
    <row r="18" spans="1:4" x14ac:dyDescent="0.2">
      <c r="A18" s="7" t="s">
        <v>976</v>
      </c>
      <c r="B18" t="s">
        <v>924</v>
      </c>
    </row>
    <row r="19" spans="1:4" x14ac:dyDescent="0.2">
      <c r="A19" s="7" t="s">
        <v>977</v>
      </c>
      <c r="B19" t="s">
        <v>925</v>
      </c>
    </row>
    <row r="20" spans="1:4" x14ac:dyDescent="0.2">
      <c r="B20" t="s">
        <v>926</v>
      </c>
    </row>
    <row r="22" spans="1:4" x14ac:dyDescent="0.2">
      <c r="A22" s="7" t="s">
        <v>976</v>
      </c>
      <c r="B22" t="s">
        <v>964</v>
      </c>
    </row>
    <row r="23" spans="1:4" x14ac:dyDescent="0.2">
      <c r="A23" s="7" t="s">
        <v>977</v>
      </c>
      <c r="B23" s="8" t="s">
        <v>1</v>
      </c>
    </row>
    <row r="24" spans="1:4" x14ac:dyDescent="0.2">
      <c r="C24" t="s">
        <v>968</v>
      </c>
      <c r="D24" t="s">
        <v>969</v>
      </c>
    </row>
    <row r="25" spans="1:4" x14ac:dyDescent="0.2">
      <c r="B25" t="s">
        <v>966</v>
      </c>
      <c r="C25" s="3">
        <v>2.5299999999999998</v>
      </c>
      <c r="D25" s="3">
        <v>3.29</v>
      </c>
    </row>
    <row r="26" spans="1:4" x14ac:dyDescent="0.2">
      <c r="B26" t="s">
        <v>965</v>
      </c>
      <c r="C26" s="3">
        <v>3.5</v>
      </c>
      <c r="D26" s="3">
        <v>4.1900000000000004</v>
      </c>
    </row>
    <row r="27" spans="1:4" x14ac:dyDescent="0.2">
      <c r="B27" t="s">
        <v>967</v>
      </c>
      <c r="C27" s="3">
        <v>3.15</v>
      </c>
      <c r="D27" s="3">
        <v>4.29</v>
      </c>
    </row>
    <row r="29" spans="1:4" x14ac:dyDescent="0.2">
      <c r="A29" s="7" t="s">
        <v>976</v>
      </c>
      <c r="B29" t="s">
        <v>918</v>
      </c>
    </row>
    <row r="30" spans="1:4" x14ac:dyDescent="0.2">
      <c r="A30" s="7" t="s">
        <v>977</v>
      </c>
      <c r="B30" t="s">
        <v>919</v>
      </c>
    </row>
    <row r="31" spans="1:4" x14ac:dyDescent="0.2">
      <c r="B31" t="s">
        <v>920</v>
      </c>
    </row>
    <row r="33" spans="1:9" x14ac:dyDescent="0.2">
      <c r="A33" s="7" t="s">
        <v>976</v>
      </c>
      <c r="B33" t="s">
        <v>30</v>
      </c>
    </row>
    <row r="34" spans="1:9" x14ac:dyDescent="0.2">
      <c r="A34" s="7" t="s">
        <v>977</v>
      </c>
      <c r="B34" t="s">
        <v>40</v>
      </c>
    </row>
    <row r="35" spans="1:9" x14ac:dyDescent="0.2">
      <c r="A35" s="7"/>
    </row>
    <row r="36" spans="1:9" x14ac:dyDescent="0.2">
      <c r="A36" s="7" t="s">
        <v>976</v>
      </c>
      <c r="B36" t="s">
        <v>221</v>
      </c>
    </row>
    <row r="37" spans="1:9" x14ac:dyDescent="0.2">
      <c r="A37" s="7" t="s">
        <v>977</v>
      </c>
      <c r="B37" t="s">
        <v>222</v>
      </c>
    </row>
    <row r="38" spans="1:9" x14ac:dyDescent="0.2">
      <c r="A38" s="7"/>
    </row>
    <row r="39" spans="1:9" x14ac:dyDescent="0.2">
      <c r="A39" s="7" t="s">
        <v>976</v>
      </c>
      <c r="B39" s="2" t="s">
        <v>239</v>
      </c>
    </row>
    <row r="40" spans="1:9" x14ac:dyDescent="0.2">
      <c r="A40" s="7" t="s">
        <v>977</v>
      </c>
      <c r="B40" s="2" t="s">
        <v>240</v>
      </c>
    </row>
    <row r="41" spans="1:9" x14ac:dyDescent="0.2">
      <c r="A41" s="7"/>
      <c r="B41" s="2" t="s">
        <v>241</v>
      </c>
    </row>
    <row r="43" spans="1:9" x14ac:dyDescent="0.2">
      <c r="A43" s="7" t="s">
        <v>2</v>
      </c>
      <c r="G43" s="9" t="s">
        <v>16</v>
      </c>
      <c r="H43" s="7"/>
      <c r="I43" s="9" t="s">
        <v>17</v>
      </c>
    </row>
    <row r="44" spans="1:9" x14ac:dyDescent="0.2">
      <c r="C44" s="7" t="s">
        <v>976</v>
      </c>
      <c r="D44" s="7" t="s">
        <v>4</v>
      </c>
      <c r="E44" s="7" t="s">
        <v>3</v>
      </c>
      <c r="F44" s="7" t="s">
        <v>15</v>
      </c>
      <c r="G44" s="9">
        <v>7500</v>
      </c>
      <c r="H44" s="9"/>
      <c r="I44" s="7">
        <v>2100</v>
      </c>
    </row>
    <row r="45" spans="1:9" x14ac:dyDescent="0.2">
      <c r="C45" t="s">
        <v>901</v>
      </c>
      <c r="D45">
        <v>118</v>
      </c>
      <c r="E45">
        <v>178</v>
      </c>
      <c r="F45">
        <f>(D45+E45)/2</f>
        <v>148</v>
      </c>
      <c r="G45" s="3">
        <f>F45/$G$44</f>
        <v>1.9733333333333332E-2</v>
      </c>
      <c r="I45">
        <f>F45/$I$44</f>
        <v>7.047619047619047E-2</v>
      </c>
    </row>
    <row r="46" spans="1:9" x14ac:dyDescent="0.2">
      <c r="C46" t="s">
        <v>916</v>
      </c>
      <c r="D46">
        <v>119</v>
      </c>
      <c r="E46">
        <v>160</v>
      </c>
      <c r="F46">
        <f>(D46+E46)/2</f>
        <v>139.5</v>
      </c>
      <c r="G46" s="3">
        <f>F46/$G$44</f>
        <v>1.8599999999999998E-2</v>
      </c>
      <c r="I46">
        <f>F46/$I$44</f>
        <v>6.6428571428571434E-2</v>
      </c>
    </row>
    <row r="47" spans="1:9" x14ac:dyDescent="0.2">
      <c r="C47" t="s">
        <v>986</v>
      </c>
      <c r="D47">
        <v>31</v>
      </c>
      <c r="E47">
        <v>43</v>
      </c>
      <c r="F47">
        <f>(D47+E47)/2</f>
        <v>37</v>
      </c>
      <c r="G47" s="3">
        <f>F47/$G$44</f>
        <v>4.933333333333333E-3</v>
      </c>
      <c r="I47">
        <f>F47/$I$44</f>
        <v>1.7619047619047618E-2</v>
      </c>
    </row>
    <row r="48" spans="1:9" x14ac:dyDescent="0.2">
      <c r="C48" t="s">
        <v>0</v>
      </c>
      <c r="D48">
        <v>31</v>
      </c>
      <c r="E48">
        <v>67</v>
      </c>
      <c r="F48">
        <f>(D48+E48)/2</f>
        <v>49</v>
      </c>
      <c r="G48" s="3">
        <f>F48/$G$44</f>
        <v>6.5333333333333337E-3</v>
      </c>
      <c r="I48">
        <f>F48/$I$44</f>
        <v>2.3333333333333334E-2</v>
      </c>
    </row>
    <row r="49" spans="2:9" x14ac:dyDescent="0.2">
      <c r="B49" s="7" t="s">
        <v>18</v>
      </c>
      <c r="C49" s="7"/>
      <c r="G49" s="3">
        <f>SUM(G45:G48)/4</f>
        <v>1.2449999999999999E-2</v>
      </c>
      <c r="I49">
        <f>(I45+I46+I47+I48)/4</f>
        <v>4.446428571428572E-2</v>
      </c>
    </row>
    <row r="51" spans="2:9" x14ac:dyDescent="0.2">
      <c r="D51" t="s">
        <v>19</v>
      </c>
    </row>
  </sheetData>
  <phoneticPr fontId="2" type="noConversion"/>
  <pageMargins left="0.78740157499999996" right="0.78740157499999996" top="0.984251969" bottom="0.984251969"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sqref="A1:I12"/>
    </sheetView>
  </sheetViews>
  <sheetFormatPr baseColWidth="10" defaultRowHeight="12.75" x14ac:dyDescent="0.2"/>
  <cols>
    <col min="1" max="256" width="9.140625" customWidth="1"/>
  </cols>
  <sheetData>
    <row r="1" spans="1:7" x14ac:dyDescent="0.2">
      <c r="A1" s="7" t="s">
        <v>976</v>
      </c>
      <c r="B1" t="s">
        <v>438</v>
      </c>
    </row>
    <row r="2" spans="1:7" x14ac:dyDescent="0.2">
      <c r="A2" s="7" t="s">
        <v>977</v>
      </c>
      <c r="B2" t="s">
        <v>439</v>
      </c>
    </row>
    <row r="3" spans="1:7" x14ac:dyDescent="0.2">
      <c r="B3" s="7" t="s">
        <v>406</v>
      </c>
      <c r="C3" s="7" t="s">
        <v>409</v>
      </c>
      <c r="D3" s="7" t="s">
        <v>477</v>
      </c>
      <c r="E3" s="7" t="s">
        <v>440</v>
      </c>
      <c r="F3" s="7" t="s">
        <v>441</v>
      </c>
      <c r="G3" s="7" t="s">
        <v>442</v>
      </c>
    </row>
    <row r="4" spans="1:7" x14ac:dyDescent="0.2">
      <c r="B4" t="s">
        <v>444</v>
      </c>
      <c r="C4" s="3">
        <v>6.3</v>
      </c>
      <c r="D4">
        <v>16.100000000000001</v>
      </c>
      <c r="E4">
        <v>7.2</v>
      </c>
      <c r="F4">
        <v>2.7</v>
      </c>
      <c r="G4">
        <v>6.2</v>
      </c>
    </row>
    <row r="5" spans="1:7" x14ac:dyDescent="0.2">
      <c r="B5" t="s">
        <v>443</v>
      </c>
      <c r="C5">
        <v>7.9</v>
      </c>
      <c r="D5">
        <v>19.5</v>
      </c>
      <c r="E5">
        <v>10.7</v>
      </c>
      <c r="F5">
        <v>2.5</v>
      </c>
      <c r="G5">
        <v>6.3</v>
      </c>
    </row>
    <row r="6" spans="1:7" x14ac:dyDescent="0.2">
      <c r="D6" t="s">
        <v>445</v>
      </c>
    </row>
    <row r="7" spans="1:7" x14ac:dyDescent="0.2">
      <c r="D7" t="s">
        <v>446</v>
      </c>
    </row>
  </sheetData>
  <phoneticPr fontId="2" type="noConversion"/>
  <pageMargins left="0.78740157499999996" right="0.78740157499999996" top="0.984251969" bottom="0.984251969"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sqref="A1:B2"/>
    </sheetView>
  </sheetViews>
  <sheetFormatPr baseColWidth="10" defaultRowHeight="12.75" x14ac:dyDescent="0.2"/>
  <cols>
    <col min="1" max="256" width="9.140625" customWidth="1"/>
  </cols>
  <sheetData>
    <row r="1" spans="1:2" x14ac:dyDescent="0.2">
      <c r="A1" s="7" t="s">
        <v>976</v>
      </c>
      <c r="B1" t="s">
        <v>973</v>
      </c>
    </row>
    <row r="2" spans="1:2" x14ac:dyDescent="0.2">
      <c r="A2" s="7" t="s">
        <v>977</v>
      </c>
      <c r="B2" t="s">
        <v>974</v>
      </c>
    </row>
    <row r="4" spans="1:2" x14ac:dyDescent="0.2">
      <c r="A4" s="7" t="s">
        <v>976</v>
      </c>
      <c r="B4" t="s">
        <v>299</v>
      </c>
    </row>
    <row r="5" spans="1:2" x14ac:dyDescent="0.2">
      <c r="A5" s="7" t="s">
        <v>977</v>
      </c>
      <c r="B5" t="s">
        <v>300</v>
      </c>
    </row>
  </sheetData>
  <phoneticPr fontId="2" type="noConversion"/>
  <pageMargins left="0.78740157499999996" right="0.78740157499999996" top="0.984251969" bottom="0.984251969"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A19" sqref="A19:B20"/>
    </sheetView>
  </sheetViews>
  <sheetFormatPr baseColWidth="10" defaultRowHeight="12.75" x14ac:dyDescent="0.2"/>
  <cols>
    <col min="1" max="1" width="10.28515625" bestFit="1" customWidth="1"/>
    <col min="2" max="2" width="56.85546875" customWidth="1"/>
    <col min="3" max="3" width="9.140625" customWidth="1"/>
    <col min="4" max="4" width="12.42578125" bestFit="1" customWidth="1"/>
    <col min="5" max="256" width="9.140625" customWidth="1"/>
  </cols>
  <sheetData>
    <row r="1" spans="1:7" ht="14.25" customHeight="1" x14ac:dyDescent="0.2">
      <c r="A1" s="7" t="s">
        <v>976</v>
      </c>
      <c r="B1" s="6" t="s">
        <v>937</v>
      </c>
    </row>
    <row r="2" spans="1:7" ht="16.5" customHeight="1" x14ac:dyDescent="0.2">
      <c r="A2" s="7"/>
      <c r="B2" s="6" t="s">
        <v>938</v>
      </c>
    </row>
    <row r="3" spans="1:7" ht="27.75" customHeight="1" x14ac:dyDescent="0.2">
      <c r="B3" s="6" t="s">
        <v>939</v>
      </c>
    </row>
    <row r="4" spans="1:7" ht="23.25" customHeight="1" x14ac:dyDescent="0.2">
      <c r="B4" s="6" t="s">
        <v>963</v>
      </c>
    </row>
    <row r="6" spans="1:7" x14ac:dyDescent="0.2">
      <c r="A6" s="7"/>
    </row>
    <row r="7" spans="1:7" x14ac:dyDescent="0.2">
      <c r="A7" s="7" t="s">
        <v>977</v>
      </c>
    </row>
    <row r="8" spans="1:7" x14ac:dyDescent="0.2">
      <c r="B8" s="4" t="s">
        <v>930</v>
      </c>
      <c r="C8" s="5"/>
      <c r="D8" s="5"/>
      <c r="E8" s="6"/>
      <c r="F8" s="5"/>
      <c r="G8" s="6"/>
    </row>
    <row r="9" spans="1:7" ht="15.75" x14ac:dyDescent="0.2">
      <c r="B9" s="4" t="s">
        <v>931</v>
      </c>
      <c r="C9" s="5"/>
      <c r="D9" s="5"/>
      <c r="E9" s="6" t="s">
        <v>932</v>
      </c>
      <c r="F9" s="5"/>
      <c r="G9" s="6"/>
    </row>
    <row r="10" spans="1:7" x14ac:dyDescent="0.2">
      <c r="B10" s="6" t="s">
        <v>933</v>
      </c>
      <c r="C10" s="5"/>
      <c r="D10" s="5"/>
      <c r="E10" s="6"/>
      <c r="F10" s="5"/>
      <c r="G10" s="6"/>
    </row>
    <row r="11" spans="1:7" x14ac:dyDescent="0.2">
      <c r="B11" s="6" t="s">
        <v>934</v>
      </c>
      <c r="C11" s="5">
        <v>3</v>
      </c>
      <c r="D11" s="5">
        <v>7</v>
      </c>
      <c r="E11" s="6">
        <v>10</v>
      </c>
      <c r="F11" s="5">
        <v>13</v>
      </c>
      <c r="G11" s="6" t="s">
        <v>935</v>
      </c>
    </row>
    <row r="12" spans="1:7" x14ac:dyDescent="0.2">
      <c r="B12" s="6" t="s">
        <v>936</v>
      </c>
      <c r="C12" s="5">
        <v>0.24</v>
      </c>
      <c r="D12" s="5">
        <v>0.19</v>
      </c>
      <c r="E12" s="6">
        <v>0.2</v>
      </c>
      <c r="F12" s="5">
        <v>0.21</v>
      </c>
      <c r="G12" s="6">
        <v>0.21</v>
      </c>
    </row>
    <row r="14" spans="1:7" x14ac:dyDescent="0.2">
      <c r="A14" s="7" t="s">
        <v>976</v>
      </c>
      <c r="B14" t="s">
        <v>927</v>
      </c>
    </row>
    <row r="15" spans="1:7" x14ac:dyDescent="0.2">
      <c r="A15" s="7" t="s">
        <v>977</v>
      </c>
      <c r="B15" t="s">
        <v>928</v>
      </c>
    </row>
    <row r="16" spans="1:7" ht="14.25" customHeight="1" x14ac:dyDescent="0.2">
      <c r="B16" t="s">
        <v>929</v>
      </c>
    </row>
    <row r="17" spans="1:4" x14ac:dyDescent="0.2">
      <c r="B17" t="s">
        <v>28</v>
      </c>
    </row>
    <row r="19" spans="1:4" x14ac:dyDescent="0.2">
      <c r="A19" s="7" t="s">
        <v>976</v>
      </c>
      <c r="B19" t="s">
        <v>224</v>
      </c>
    </row>
    <row r="20" spans="1:4" x14ac:dyDescent="0.2">
      <c r="A20" s="7" t="s">
        <v>977</v>
      </c>
      <c r="B20" t="s">
        <v>225</v>
      </c>
    </row>
    <row r="22" spans="1:4" x14ac:dyDescent="0.2">
      <c r="A22" s="7" t="s">
        <v>226</v>
      </c>
    </row>
    <row r="23" spans="1:4" x14ac:dyDescent="0.2">
      <c r="B23" s="2"/>
      <c r="D23" s="2"/>
    </row>
  </sheetData>
  <phoneticPr fontId="2" type="noConversion"/>
  <pageMargins left="0.78740157499999996" right="0.78740157499999996" top="0.984251969" bottom="0.984251969"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sqref="A1:B3"/>
    </sheetView>
  </sheetViews>
  <sheetFormatPr baseColWidth="10" defaultRowHeight="12.75" x14ac:dyDescent="0.2"/>
  <cols>
    <col min="1" max="256" width="9.140625" customWidth="1"/>
  </cols>
  <sheetData>
    <row r="1" spans="1:2" x14ac:dyDescent="0.2">
      <c r="A1" s="7" t="s">
        <v>976</v>
      </c>
      <c r="B1" t="s">
        <v>970</v>
      </c>
    </row>
    <row r="2" spans="1:2" x14ac:dyDescent="0.2">
      <c r="A2" s="7" t="s">
        <v>977</v>
      </c>
      <c r="B2" t="s">
        <v>971</v>
      </c>
    </row>
    <row r="3" spans="1:2" x14ac:dyDescent="0.2">
      <c r="B3" t="s">
        <v>972</v>
      </c>
    </row>
    <row r="5" spans="1:2" x14ac:dyDescent="0.2">
      <c r="A5" s="7" t="s">
        <v>976</v>
      </c>
      <c r="B5" t="s">
        <v>224</v>
      </c>
    </row>
    <row r="6" spans="1:2" x14ac:dyDescent="0.2">
      <c r="A6" s="7" t="s">
        <v>977</v>
      </c>
      <c r="B6" t="s">
        <v>228</v>
      </c>
    </row>
  </sheetData>
  <phoneticPr fontId="2" type="noConversion"/>
  <pageMargins left="0.78740157499999996" right="0.78740157499999996" top="0.984251969" bottom="0.984251969"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33</vt:i4>
      </vt:variant>
    </vt:vector>
  </HeadingPairs>
  <TitlesOfParts>
    <vt:vector size="33" baseType="lpstr">
      <vt:lpstr>Content</vt:lpstr>
      <vt:lpstr>max_age</vt:lpstr>
      <vt:lpstr>stol</vt:lpstr>
      <vt:lpstr>pfext</vt:lpstr>
      <vt:lpstr>sigman</vt:lpstr>
      <vt:lpstr>respcoeff</vt:lpstr>
      <vt:lpstr>prg</vt:lpstr>
      <vt:lpstr>prms</vt:lpstr>
      <vt:lpstr>prmr</vt:lpstr>
      <vt:lpstr>psf</vt:lpstr>
      <vt:lpstr>pss</vt:lpstr>
      <vt:lpstr>psr</vt:lpstr>
      <vt:lpstr>pncr</vt:lpstr>
      <vt:lpstr>Ncon</vt:lpstr>
      <vt:lpstr>alphac</vt:lpstr>
      <vt:lpstr>cr_frac</vt:lpstr>
      <vt:lpstr>prhos</vt:lpstr>
      <vt:lpstr>pnus</vt:lpstr>
      <vt:lpstr>pha</vt:lpstr>
      <vt:lpstr>crown_a</vt:lpstr>
      <vt:lpstr>crown_a fit</vt:lpstr>
      <vt:lpstr>Kronenansatzhöhe</vt:lpstr>
      <vt:lpstr>psla_min</vt:lpstr>
      <vt:lpstr>psla_a</vt:lpstr>
      <vt:lpstr>pnc</vt:lpstr>
      <vt:lpstr>ceppot_spec</vt:lpstr>
      <vt:lpstr>Wseed</vt:lpstr>
      <vt:lpstr>Psa</vt:lpstr>
      <vt:lpstr>Ph1</vt:lpstr>
      <vt:lpstr>k_opm_fol</vt:lpstr>
      <vt:lpstr>k_opm_frt</vt:lpstr>
      <vt:lpstr>k_opm_stem</vt:lpstr>
      <vt:lpstr>k_opm_tbc</vt:lpstr>
    </vt:vector>
  </TitlesOfParts>
  <Company>PIK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reyer</dc:creator>
  <cp:lastModifiedBy>Petra Lasch</cp:lastModifiedBy>
  <dcterms:created xsi:type="dcterms:W3CDTF">2007-10-15T08:45:17Z</dcterms:created>
  <dcterms:modified xsi:type="dcterms:W3CDTF">2019-06-11T08:50:49Z</dcterms:modified>
</cp:coreProperties>
</file>