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35" yWindow="1860" windowWidth="24990" windowHeight="11025" activeTab="4"/>
  </bookViews>
  <sheets>
    <sheet name="Bartsch" sheetId="1" r:id="rId1"/>
    <sheet name="Berninger" sheetId="45" r:id="rId2"/>
    <sheet name="Burger_Tab. 10" sheetId="2" r:id="rId3"/>
    <sheet name="Burger_Tab. 11" sheetId="3" r:id="rId4"/>
    <sheet name="Burger_Tab. 12" sheetId="4" r:id="rId5"/>
    <sheet name="Burger_Tab. 14" sheetId="5" r:id="rId6"/>
    <sheet name="Burger_Tab. 15" sheetId="6" r:id="rId7"/>
    <sheet name="Burger_Tab. 16" sheetId="7" r:id="rId8"/>
    <sheet name="Burger_SplintKern" sheetId="8" r:id="rId9"/>
    <sheet name="Burger_Wassergeh." sheetId="9" r:id="rId10"/>
    <sheet name="Cannell_KI" sheetId="10" r:id="rId11"/>
    <sheet name="Claesson" sheetId="11" r:id="rId12"/>
    <sheet name="DenglerKI" sheetId="12" r:id="rId13"/>
    <sheet name="Erteld" sheetId="13" r:id="rId14"/>
    <sheet name="Flemes" sheetId="14" r:id="rId15"/>
    <sheet name="Fröhlich_alle" sheetId="15" r:id="rId16"/>
    <sheet name="Hasenauer" sheetId="16" r:id="rId17"/>
    <sheet name="Kallweit" sheetId="17" r:id="rId18"/>
    <sheet name="Künstle&amp;Mitsch." sheetId="18" r:id="rId19"/>
    <sheet name="Laasasenaho" sheetId="19" r:id="rId20"/>
    <sheet name="Lyr, Hoffm. Dohse" sheetId="20" r:id="rId21"/>
    <sheet name="Lyr, Hoffm., Engel" sheetId="21" r:id="rId22"/>
    <sheet name="Mäkelä1995" sheetId="22" r:id="rId23"/>
    <sheet name="Mamaev" sheetId="23" r:id="rId24"/>
    <sheet name="MamaevII" sheetId="24" r:id="rId25"/>
    <sheet name="Molchanov" sheetId="25" r:id="rId26"/>
    <sheet name="Mencuccini" sheetId="46" r:id="rId27"/>
    <sheet name="Nikinmaa" sheetId="44" r:id="rId28"/>
    <sheet name="Radem." sheetId="26" r:id="rId29"/>
    <sheet name="Spank" sheetId="27" r:id="rId30"/>
    <sheet name="Toma" sheetId="28" r:id="rId31"/>
    <sheet name="Vanninen" sheetId="43" r:id="rId32"/>
    <sheet name="empirische Formeln" sheetId="29" r:id="rId33"/>
    <sheet name="4C" sheetId="30" r:id="rId34"/>
    <sheet name="$G h (d)" sheetId="31" r:id="rId35"/>
    <sheet name="schlankheit" sheetId="32" r:id="rId36"/>
    <sheet name="$G h(F) Burger" sheetId="33" r:id="rId37"/>
    <sheet name="$G Grafiken" sheetId="34" r:id="rId38"/>
    <sheet name="Tab. 10cop" sheetId="35" r:id="rId39"/>
    <sheet name="h mod vs meas" sheetId="36" r:id="rId40"/>
    <sheet name="rkr(DBH)" sheetId="37" r:id="rId41"/>
    <sheet name="rkr(DBH) res" sheetId="38" r:id="rId42"/>
    <sheet name="##KrRKI_alle" sheetId="39" r:id="rId43"/>
    <sheet name="##BiomasseSumKI" sheetId="40" r:id="rId44"/>
    <sheet name="##BlattmasseHöheKI" sheetId="41" r:id="rId45"/>
    <sheet name="##BlattmasseHöheKI (2)" sheetId="42" r:id="rId46"/>
  </sheets>
  <externalReferences>
    <externalReference r:id="rId47"/>
  </externalReferences>
  <definedNames>
    <definedName name="solver_adj" localSheetId="45" hidden="1">'##BlattmasseHöheKI (2)'!$X$39:$X$41</definedName>
    <definedName name="solver_adj" localSheetId="2" hidden="1">'Burger_Tab. 10'!$AA$3:$AA$5</definedName>
    <definedName name="solver_adj" localSheetId="38" hidden="1">'Tab. 10cop'!$AA$3:$AA$5</definedName>
    <definedName name="solver_cvg" localSheetId="45" hidden="1">0.0001</definedName>
    <definedName name="solver_cvg" localSheetId="2" hidden="1">0.001</definedName>
    <definedName name="solver_cvg" localSheetId="38" hidden="1">0.001</definedName>
    <definedName name="solver_drv" localSheetId="45" hidden="1">1</definedName>
    <definedName name="solver_drv" localSheetId="2" hidden="1">1</definedName>
    <definedName name="solver_drv" localSheetId="38" hidden="1">1</definedName>
    <definedName name="solver_est" localSheetId="45" hidden="1">1</definedName>
    <definedName name="solver_est" localSheetId="2" hidden="1">1</definedName>
    <definedName name="solver_est" localSheetId="38" hidden="1">1</definedName>
    <definedName name="solver_itr" localSheetId="45" hidden="1">100</definedName>
    <definedName name="solver_itr" localSheetId="2" hidden="1">100</definedName>
    <definedName name="solver_itr" localSheetId="38" hidden="1">100</definedName>
    <definedName name="solver_lin" localSheetId="45" hidden="1">2</definedName>
    <definedName name="solver_lin" localSheetId="2" hidden="1">2</definedName>
    <definedName name="solver_lin" localSheetId="38" hidden="1">2</definedName>
    <definedName name="solver_neg" localSheetId="45" hidden="1">2</definedName>
    <definedName name="solver_neg" localSheetId="2" hidden="1">2</definedName>
    <definedName name="solver_neg" localSheetId="38" hidden="1">2</definedName>
    <definedName name="solver_num" localSheetId="45" hidden="1">0</definedName>
    <definedName name="solver_num" localSheetId="2" hidden="1">0</definedName>
    <definedName name="solver_num" localSheetId="38" hidden="1">0</definedName>
    <definedName name="solver_nwt" localSheetId="45" hidden="1">1</definedName>
    <definedName name="solver_nwt" localSheetId="2" hidden="1">1</definedName>
    <definedName name="solver_nwt" localSheetId="38" hidden="1">1</definedName>
    <definedName name="solver_opt" localSheetId="45" hidden="1">'##BlattmasseHöheKI (2)'!$Y$57</definedName>
    <definedName name="solver_opt" localSheetId="2" hidden="1">'Burger_Tab. 10'!$AB$217</definedName>
    <definedName name="solver_opt" localSheetId="38" hidden="1">'Tab. 10cop'!$AB$217</definedName>
    <definedName name="solver_pre" localSheetId="45" hidden="1">0.000001</definedName>
    <definedName name="solver_pre" localSheetId="2" hidden="1">0.000001</definedName>
    <definedName name="solver_pre" localSheetId="38" hidden="1">0.000001</definedName>
    <definedName name="solver_scl" localSheetId="45" hidden="1">2</definedName>
    <definedName name="solver_scl" localSheetId="2" hidden="1">2</definedName>
    <definedName name="solver_scl" localSheetId="38" hidden="1">2</definedName>
    <definedName name="solver_sho" localSheetId="45" hidden="1">2</definedName>
    <definedName name="solver_sho" localSheetId="2" hidden="1">2</definedName>
    <definedName name="solver_sho" localSheetId="38" hidden="1">2</definedName>
    <definedName name="solver_tim" localSheetId="45" hidden="1">100</definedName>
    <definedName name="solver_tim" localSheetId="2" hidden="1">100</definedName>
    <definedName name="solver_tim" localSheetId="38" hidden="1">100</definedName>
    <definedName name="solver_tol" localSheetId="45" hidden="1">0.05</definedName>
    <definedName name="solver_tol" localSheetId="2" hidden="1">0.05</definedName>
    <definedName name="solver_tol" localSheetId="38" hidden="1">0.05</definedName>
    <definedName name="solver_typ" localSheetId="45" hidden="1">2</definedName>
    <definedName name="solver_typ" localSheetId="2" hidden="1">2</definedName>
    <definedName name="solver_typ" localSheetId="38" hidden="1">2</definedName>
    <definedName name="solver_val" localSheetId="45" hidden="1">0</definedName>
    <definedName name="solver_val" localSheetId="2" hidden="1">0</definedName>
    <definedName name="solver_val" localSheetId="38" hidden="1">0</definedName>
  </definedNames>
  <calcPr calcId="145621"/>
</workbook>
</file>

<file path=xl/calcChain.xml><?xml version="1.0" encoding="utf-8"?>
<calcChain xmlns="http://schemas.openxmlformats.org/spreadsheetml/2006/main">
  <c r="D13" i="45" l="1"/>
  <c r="D7" i="45"/>
  <c r="D8" i="45"/>
  <c r="D9" i="45"/>
  <c r="D10" i="45"/>
  <c r="D11" i="45"/>
  <c r="D6" i="45"/>
  <c r="E11" i="44"/>
  <c r="P31" i="43"/>
  <c r="L31" i="43"/>
  <c r="H31" i="43"/>
  <c r="D31" i="43"/>
  <c r="S29" i="43"/>
  <c r="S31" i="43"/>
  <c r="R29" i="43"/>
  <c r="R31" i="43"/>
  <c r="Q29" i="43"/>
  <c r="Q31" i="43"/>
  <c r="P29" i="43"/>
  <c r="O29" i="43"/>
  <c r="O31" i="43"/>
  <c r="N29" i="43"/>
  <c r="N31" i="43"/>
  <c r="M29" i="43"/>
  <c r="M31" i="43"/>
  <c r="L29" i="43"/>
  <c r="K29" i="43"/>
  <c r="K31" i="43"/>
  <c r="J29" i="43"/>
  <c r="J31" i="43"/>
  <c r="I29" i="43"/>
  <c r="I31" i="43"/>
  <c r="H29" i="43"/>
  <c r="G29" i="43"/>
  <c r="G31" i="43"/>
  <c r="F29" i="43"/>
  <c r="F31" i="43"/>
  <c r="E29" i="43"/>
  <c r="E31" i="43"/>
  <c r="D29" i="43"/>
  <c r="C29" i="43"/>
  <c r="C31" i="43"/>
  <c r="B29" i="43"/>
  <c r="B31" i="43"/>
  <c r="T31" i="43"/>
  <c r="S28" i="43"/>
  <c r="S30" i="43"/>
  <c r="R28" i="43"/>
  <c r="R30" i="43"/>
  <c r="Q28" i="43"/>
  <c r="Q30" i="43"/>
  <c r="P28" i="43"/>
  <c r="P30" i="43"/>
  <c r="O28" i="43"/>
  <c r="O30" i="43"/>
  <c r="N28" i="43"/>
  <c r="N30" i="43"/>
  <c r="M28" i="43"/>
  <c r="M30" i="43"/>
  <c r="L28" i="43"/>
  <c r="L30" i="43"/>
  <c r="K28" i="43"/>
  <c r="K30" i="43"/>
  <c r="J28" i="43"/>
  <c r="J30" i="43"/>
  <c r="I28" i="43"/>
  <c r="I30" i="43"/>
  <c r="H28" i="43"/>
  <c r="H30" i="43"/>
  <c r="G28" i="43"/>
  <c r="G30" i="43"/>
  <c r="F28" i="43"/>
  <c r="F30" i="43"/>
  <c r="E28" i="43"/>
  <c r="E30" i="43"/>
  <c r="D28" i="43"/>
  <c r="D30" i="43"/>
  <c r="C28" i="43"/>
  <c r="C30" i="43"/>
  <c r="B28" i="43"/>
  <c r="B30" i="43"/>
  <c r="J6" i="40"/>
  <c r="K6" i="40"/>
  <c r="L6" i="40"/>
  <c r="I6" i="40"/>
  <c r="H6" i="40"/>
  <c r="M6" i="40"/>
  <c r="N6" i="40"/>
  <c r="J7" i="40"/>
  <c r="K7" i="40"/>
  <c r="L7" i="40"/>
  <c r="M7" i="40"/>
  <c r="I7" i="40"/>
  <c r="H7" i="40"/>
  <c r="N7" i="40"/>
  <c r="J8" i="40"/>
  <c r="I8" i="40"/>
  <c r="H8" i="40"/>
  <c r="K8" i="40"/>
  <c r="L8" i="40"/>
  <c r="M8" i="40"/>
  <c r="N8" i="40"/>
  <c r="J9" i="40"/>
  <c r="I9" i="40"/>
  <c r="H9" i="40"/>
  <c r="K9" i="40"/>
  <c r="L9" i="40"/>
  <c r="M9" i="40"/>
  <c r="N9" i="40"/>
  <c r="J10" i="40"/>
  <c r="K10" i="40"/>
  <c r="I10" i="40"/>
  <c r="H10" i="40"/>
  <c r="L10" i="40"/>
  <c r="M10" i="40"/>
  <c r="N10" i="40"/>
  <c r="J11" i="40"/>
  <c r="K11" i="40"/>
  <c r="L11" i="40"/>
  <c r="M11" i="40"/>
  <c r="I11" i="40"/>
  <c r="H11" i="40"/>
  <c r="N11" i="40"/>
  <c r="J12" i="40"/>
  <c r="I12" i="40"/>
  <c r="H12" i="40"/>
  <c r="K12" i="40"/>
  <c r="L12" i="40"/>
  <c r="M12" i="40"/>
  <c r="N12" i="40"/>
  <c r="J13" i="40"/>
  <c r="I13" i="40"/>
  <c r="H13" i="40"/>
  <c r="K13" i="40"/>
  <c r="L13" i="40"/>
  <c r="M13" i="40"/>
  <c r="N13" i="40"/>
  <c r="J14" i="40"/>
  <c r="K14" i="40"/>
  <c r="I14" i="40"/>
  <c r="H14" i="40"/>
  <c r="L14" i="40"/>
  <c r="M14" i="40"/>
  <c r="N14" i="40"/>
  <c r="J15" i="40"/>
  <c r="K15" i="40"/>
  <c r="L15" i="40"/>
  <c r="M15" i="40"/>
  <c r="I15" i="40"/>
  <c r="H15" i="40"/>
  <c r="N15" i="40"/>
  <c r="J16" i="40"/>
  <c r="I16" i="40"/>
  <c r="H16" i="40"/>
  <c r="K16" i="40"/>
  <c r="L16" i="40"/>
  <c r="M16" i="40"/>
  <c r="N16" i="40"/>
  <c r="J17" i="40"/>
  <c r="I17" i="40"/>
  <c r="H17" i="40"/>
  <c r="K17" i="40"/>
  <c r="L17" i="40"/>
  <c r="M17" i="40"/>
  <c r="N17" i="40"/>
  <c r="J18" i="40"/>
  <c r="K18" i="40"/>
  <c r="I18" i="40"/>
  <c r="H18" i="40"/>
  <c r="L18" i="40"/>
  <c r="M18" i="40"/>
  <c r="N18" i="40"/>
  <c r="J19" i="40"/>
  <c r="K19" i="40"/>
  <c r="L19" i="40"/>
  <c r="M19" i="40"/>
  <c r="I19" i="40"/>
  <c r="H19" i="40"/>
  <c r="N19" i="40"/>
  <c r="J20" i="40"/>
  <c r="I20" i="40"/>
  <c r="H20" i="40"/>
  <c r="K20" i="40"/>
  <c r="L20" i="40"/>
  <c r="M20" i="40"/>
  <c r="N20" i="40"/>
  <c r="J21" i="40"/>
  <c r="I21" i="40"/>
  <c r="H21" i="40"/>
  <c r="K21" i="40"/>
  <c r="L21" i="40"/>
  <c r="M21" i="40"/>
  <c r="N21" i="40"/>
  <c r="J22" i="40"/>
  <c r="K22" i="40"/>
  <c r="I22" i="40"/>
  <c r="H22" i="40"/>
  <c r="L22" i="40"/>
  <c r="M22" i="40"/>
  <c r="N22" i="40"/>
  <c r="J23" i="40"/>
  <c r="K23" i="40"/>
  <c r="L23" i="40"/>
  <c r="M23" i="40"/>
  <c r="I23" i="40"/>
  <c r="H23" i="40"/>
  <c r="N23" i="40"/>
  <c r="J24" i="40"/>
  <c r="I24" i="40"/>
  <c r="H24" i="40"/>
  <c r="K24" i="40"/>
  <c r="L24" i="40"/>
  <c r="M24" i="40"/>
  <c r="N24" i="40"/>
  <c r="J25" i="40"/>
  <c r="I25" i="40"/>
  <c r="H25" i="40"/>
  <c r="K25" i="40"/>
  <c r="L25" i="40"/>
  <c r="M25" i="40"/>
  <c r="N25" i="40"/>
  <c r="J26" i="40"/>
  <c r="I26" i="40"/>
  <c r="H26" i="40"/>
  <c r="K26" i="40"/>
  <c r="L26" i="40"/>
  <c r="M26" i="40"/>
  <c r="N26" i="40"/>
  <c r="J27" i="40"/>
  <c r="K27" i="40"/>
  <c r="L27" i="40"/>
  <c r="M27" i="40"/>
  <c r="I27" i="40"/>
  <c r="H27" i="40"/>
  <c r="N27" i="40"/>
  <c r="J28" i="40"/>
  <c r="I28" i="40"/>
  <c r="H28" i="40"/>
  <c r="K28" i="40"/>
  <c r="L28" i="40"/>
  <c r="M28" i="40"/>
  <c r="N28" i="40"/>
  <c r="J29" i="40"/>
  <c r="I29" i="40"/>
  <c r="H29" i="40"/>
  <c r="K29" i="40"/>
  <c r="L29" i="40"/>
  <c r="M29" i="40"/>
  <c r="N29" i="40"/>
  <c r="J30" i="40"/>
  <c r="I30" i="40"/>
  <c r="H30" i="40"/>
  <c r="K30" i="40"/>
  <c r="L30" i="40"/>
  <c r="M30" i="40"/>
  <c r="N30" i="40"/>
  <c r="J31" i="40"/>
  <c r="K31" i="40"/>
  <c r="L31" i="40"/>
  <c r="M31" i="40"/>
  <c r="I31" i="40"/>
  <c r="H31" i="40"/>
  <c r="N31" i="40"/>
  <c r="J32" i="40"/>
  <c r="I32" i="40"/>
  <c r="H32" i="40"/>
  <c r="K32" i="40"/>
  <c r="L32" i="40"/>
  <c r="M32" i="40"/>
  <c r="N32" i="40"/>
  <c r="J33" i="40"/>
  <c r="I33" i="40"/>
  <c r="H33" i="40"/>
  <c r="K33" i="40"/>
  <c r="L33" i="40"/>
  <c r="M33" i="40"/>
  <c r="N33" i="40"/>
  <c r="J34" i="40"/>
  <c r="I34" i="40"/>
  <c r="H34" i="40"/>
  <c r="K34" i="40"/>
  <c r="L34" i="40"/>
  <c r="M34" i="40"/>
  <c r="N34" i="40"/>
  <c r="J35" i="40"/>
  <c r="K35" i="40"/>
  <c r="L35" i="40"/>
  <c r="M35" i="40"/>
  <c r="I35" i="40"/>
  <c r="H35" i="40"/>
  <c r="N35" i="40"/>
  <c r="J36" i="40"/>
  <c r="I36" i="40"/>
  <c r="H36" i="40"/>
  <c r="K36" i="40"/>
  <c r="L36" i="40"/>
  <c r="M36" i="40"/>
  <c r="N36" i="40"/>
  <c r="J37" i="40"/>
  <c r="I37" i="40"/>
  <c r="H37" i="40"/>
  <c r="K37" i="40"/>
  <c r="L37" i="40"/>
  <c r="M37" i="40"/>
  <c r="N37" i="40"/>
  <c r="J38" i="40"/>
  <c r="I38" i="40"/>
  <c r="H38" i="40"/>
  <c r="K38" i="40"/>
  <c r="L38" i="40"/>
  <c r="M38" i="40"/>
  <c r="N38" i="40"/>
  <c r="I52" i="40"/>
  <c r="H52" i="40"/>
  <c r="J52" i="40"/>
  <c r="K52" i="40"/>
  <c r="L52" i="40"/>
  <c r="M52" i="40"/>
  <c r="N52" i="40"/>
  <c r="J53" i="40"/>
  <c r="I53" i="40"/>
  <c r="H53" i="40"/>
  <c r="K53" i="40"/>
  <c r="L53" i="40"/>
  <c r="M53" i="40"/>
  <c r="N53" i="40"/>
  <c r="J54" i="40"/>
  <c r="I54" i="40"/>
  <c r="H54" i="40"/>
  <c r="K54" i="40"/>
  <c r="L54" i="40"/>
  <c r="M54" i="40"/>
  <c r="N54" i="40"/>
  <c r="J55" i="40"/>
  <c r="I55" i="40"/>
  <c r="H55" i="40"/>
  <c r="K55" i="40"/>
  <c r="L55" i="40"/>
  <c r="M55" i="40"/>
  <c r="N55" i="40"/>
  <c r="I56" i="40"/>
  <c r="H56" i="40"/>
  <c r="J56" i="40"/>
  <c r="K56" i="40"/>
  <c r="L56" i="40"/>
  <c r="M56" i="40"/>
  <c r="N56" i="40"/>
  <c r="J57" i="40"/>
  <c r="I57" i="40"/>
  <c r="H57" i="40"/>
  <c r="K57" i="40"/>
  <c r="L57" i="40"/>
  <c r="M57" i="40"/>
  <c r="N57" i="40"/>
  <c r="Y1" i="42"/>
  <c r="Z1" i="42"/>
  <c r="Y5" i="42"/>
  <c r="Z5" i="42"/>
  <c r="W6" i="42"/>
  <c r="Y6" i="42"/>
  <c r="Z6" i="42"/>
  <c r="W7" i="42"/>
  <c r="Y7" i="42"/>
  <c r="X42" i="42"/>
  <c r="Y42" i="42"/>
  <c r="X43" i="42"/>
  <c r="Y43" i="42"/>
  <c r="X44" i="42"/>
  <c r="Y44" i="42"/>
  <c r="X45" i="42"/>
  <c r="Y45" i="42"/>
  <c r="X46" i="42"/>
  <c r="Y46" i="42"/>
  <c r="X47" i="42"/>
  <c r="Y47" i="42"/>
  <c r="X48" i="42"/>
  <c r="Y48" i="42"/>
  <c r="X49" i="42"/>
  <c r="Y49" i="42"/>
  <c r="X50" i="42"/>
  <c r="Y50" i="42"/>
  <c r="X51" i="42"/>
  <c r="Y51" i="42"/>
  <c r="X52" i="42"/>
  <c r="Y52" i="42"/>
  <c r="X53" i="42"/>
  <c r="Y53" i="42"/>
  <c r="X54" i="42"/>
  <c r="Y54" i="42"/>
  <c r="X55" i="42"/>
  <c r="Y55" i="42"/>
  <c r="X56" i="42"/>
  <c r="Y56" i="42"/>
  <c r="I4" i="39"/>
  <c r="I5" i="39"/>
  <c r="I6" i="39"/>
  <c r="I7" i="39"/>
  <c r="I8" i="39"/>
  <c r="I9" i="39"/>
  <c r="I10" i="39"/>
  <c r="I11" i="39"/>
  <c r="I12" i="39"/>
  <c r="I13" i="39"/>
  <c r="I14" i="39"/>
  <c r="I15" i="39"/>
  <c r="I16" i="39"/>
  <c r="I17" i="39"/>
  <c r="I18" i="39"/>
  <c r="I19" i="39"/>
  <c r="I20" i="39"/>
  <c r="I21" i="39"/>
  <c r="I22" i="39"/>
  <c r="I23" i="39"/>
  <c r="I24" i="39"/>
  <c r="I25" i="39"/>
  <c r="I26" i="39"/>
  <c r="I27" i="39"/>
  <c r="I28" i="39"/>
  <c r="I29" i="39"/>
  <c r="I30" i="39"/>
  <c r="I31" i="39"/>
  <c r="I32" i="39"/>
  <c r="I33" i="39"/>
  <c r="I34" i="39"/>
  <c r="I35" i="39"/>
  <c r="I36" i="39"/>
  <c r="I37" i="39"/>
  <c r="I38" i="39"/>
  <c r="W38" i="39"/>
  <c r="I39" i="39"/>
  <c r="W39" i="39"/>
  <c r="I40" i="39"/>
  <c r="V40" i="39"/>
  <c r="I41" i="39"/>
  <c r="I42" i="39"/>
  <c r="I43" i="39"/>
  <c r="I44" i="39"/>
  <c r="I45" i="39"/>
  <c r="I46" i="39"/>
  <c r="I47" i="39"/>
  <c r="I48" i="39"/>
  <c r="I49" i="39"/>
  <c r="I50" i="39"/>
  <c r="I51" i="39"/>
  <c r="I52" i="39"/>
  <c r="I53" i="39"/>
  <c r="I54" i="39"/>
  <c r="I55" i="39"/>
  <c r="I56" i="39"/>
  <c r="I57" i="39"/>
  <c r="I58" i="39"/>
  <c r="I59" i="39"/>
  <c r="I60" i="39"/>
  <c r="I61" i="39"/>
  <c r="I62" i="39"/>
  <c r="I63" i="39"/>
  <c r="I64" i="39"/>
  <c r="I65" i="39"/>
  <c r="I66" i="39"/>
  <c r="I67" i="39"/>
  <c r="I68" i="39"/>
  <c r="I69" i="39"/>
  <c r="I70" i="39"/>
  <c r="I71" i="39"/>
  <c r="I72" i="39"/>
  <c r="I73" i="39"/>
  <c r="I74" i="39"/>
  <c r="I75" i="39"/>
  <c r="I76" i="39"/>
  <c r="I77" i="39"/>
  <c r="I78" i="39"/>
  <c r="I79" i="39"/>
  <c r="I80" i="39"/>
  <c r="I81" i="39"/>
  <c r="I82" i="39"/>
  <c r="I83" i="39"/>
  <c r="I84" i="39"/>
  <c r="I85" i="39"/>
  <c r="I86" i="39"/>
  <c r="I87" i="39"/>
  <c r="I88" i="39"/>
  <c r="I89" i="39"/>
  <c r="I90" i="39"/>
  <c r="I91" i="39"/>
  <c r="I92" i="39"/>
  <c r="I93" i="39"/>
  <c r="I94" i="39"/>
  <c r="I95" i="39"/>
  <c r="Q95" i="39"/>
  <c r="I96" i="39"/>
  <c r="Q96" i="39"/>
  <c r="I97" i="39"/>
  <c r="I98" i="39"/>
  <c r="I99" i="39"/>
  <c r="I100" i="39"/>
  <c r="I101" i="39"/>
  <c r="I102" i="39"/>
  <c r="I103" i="39"/>
  <c r="I104" i="39"/>
  <c r="I105" i="39"/>
  <c r="I106" i="39"/>
  <c r="I107" i="39"/>
  <c r="I108" i="39"/>
  <c r="I109" i="39"/>
  <c r="I110" i="39"/>
  <c r="I111" i="39"/>
  <c r="I112" i="39"/>
  <c r="I113" i="39"/>
  <c r="I114" i="39"/>
  <c r="I115" i="39"/>
  <c r="I116" i="39"/>
  <c r="I117" i="39"/>
  <c r="I118" i="39"/>
  <c r="I119" i="39"/>
  <c r="I120" i="39"/>
  <c r="I121" i="39"/>
  <c r="I122" i="39"/>
  <c r="I123" i="39"/>
  <c r="I124" i="39"/>
  <c r="I125" i="39"/>
  <c r="I126" i="39"/>
  <c r="I127" i="39"/>
  <c r="I128" i="39"/>
  <c r="I129" i="39"/>
  <c r="I130" i="39"/>
  <c r="I131" i="39"/>
  <c r="I132" i="39"/>
  <c r="I133" i="39"/>
  <c r="I134" i="39"/>
  <c r="I135" i="39"/>
  <c r="I136" i="39"/>
  <c r="I137" i="39"/>
  <c r="I138" i="39"/>
  <c r="I139" i="39"/>
  <c r="I140" i="39"/>
  <c r="I141" i="39"/>
  <c r="I142" i="39"/>
  <c r="I143" i="39"/>
  <c r="I144" i="39"/>
  <c r="I145" i="39"/>
  <c r="I146" i="39"/>
  <c r="I147" i="39"/>
  <c r="I148" i="39"/>
  <c r="I149" i="39"/>
  <c r="I150" i="39"/>
  <c r="I151" i="39"/>
  <c r="I152" i="39"/>
  <c r="I153" i="39"/>
  <c r="I154" i="39"/>
  <c r="I155" i="39"/>
  <c r="I156" i="39"/>
  <c r="I157" i="39"/>
  <c r="I158" i="39"/>
  <c r="I159" i="39"/>
  <c r="I160" i="39"/>
  <c r="I161" i="39"/>
  <c r="I162" i="39"/>
  <c r="I163" i="39"/>
  <c r="I164" i="39"/>
  <c r="I165" i="39"/>
  <c r="I166" i="39"/>
  <c r="I167" i="39"/>
  <c r="I168" i="39"/>
  <c r="I169" i="39"/>
  <c r="I170" i="39"/>
  <c r="I171" i="39"/>
  <c r="I172" i="39"/>
  <c r="I173" i="39"/>
  <c r="I174" i="39"/>
  <c r="I175" i="39"/>
  <c r="I176" i="39"/>
  <c r="I177" i="39"/>
  <c r="I178" i="39"/>
  <c r="I179" i="39"/>
  <c r="I180" i="39"/>
  <c r="I181" i="39"/>
  <c r="I182" i="39"/>
  <c r="I183" i="39"/>
  <c r="I184" i="39"/>
  <c r="I185" i="39"/>
  <c r="I186" i="39"/>
  <c r="I187" i="39"/>
  <c r="I188" i="39"/>
  <c r="I189" i="39"/>
  <c r="I190" i="39"/>
  <c r="I191" i="39"/>
  <c r="I192" i="39"/>
  <c r="I193" i="39"/>
  <c r="I194" i="39"/>
  <c r="I195" i="39"/>
  <c r="I196" i="39"/>
  <c r="I197" i="39"/>
  <c r="I198" i="39"/>
  <c r="I199" i="39"/>
  <c r="I200" i="39"/>
  <c r="I201" i="39"/>
  <c r="A202" i="39"/>
  <c r="C202" i="39"/>
  <c r="D202" i="39"/>
  <c r="G202" i="39"/>
  <c r="I202" i="39"/>
  <c r="A203" i="39"/>
  <c r="C203" i="39"/>
  <c r="D203" i="39"/>
  <c r="G203" i="39"/>
  <c r="I203" i="39"/>
  <c r="A204" i="39"/>
  <c r="C204" i="39"/>
  <c r="D204" i="39"/>
  <c r="G204" i="39"/>
  <c r="I204" i="39"/>
  <c r="A205" i="39"/>
  <c r="C205" i="39"/>
  <c r="D205" i="39"/>
  <c r="G205" i="39"/>
  <c r="I205" i="39"/>
  <c r="A206" i="39"/>
  <c r="C206" i="39"/>
  <c r="D206" i="39"/>
  <c r="G206" i="39"/>
  <c r="I206" i="39"/>
  <c r="A207" i="39"/>
  <c r="C207" i="39"/>
  <c r="D207" i="39"/>
  <c r="G207" i="39"/>
  <c r="I207" i="39"/>
  <c r="A208" i="39"/>
  <c r="C208" i="39"/>
  <c r="D208" i="39"/>
  <c r="G208" i="39"/>
  <c r="I208" i="39"/>
  <c r="A209" i="39"/>
  <c r="C209" i="39"/>
  <c r="D209" i="39"/>
  <c r="G209" i="39"/>
  <c r="I209" i="39"/>
  <c r="A210" i="39"/>
  <c r="C210" i="39"/>
  <c r="D210" i="39"/>
  <c r="G210" i="39"/>
  <c r="I210" i="39"/>
  <c r="A211" i="39"/>
  <c r="C211" i="39"/>
  <c r="D211" i="39"/>
  <c r="G211" i="39"/>
  <c r="I211" i="39"/>
  <c r="F4" i="30"/>
  <c r="B5" i="30"/>
  <c r="C5" i="30"/>
  <c r="E5" i="30"/>
  <c r="F5" i="30"/>
  <c r="B6" i="30"/>
  <c r="C6" i="30"/>
  <c r="E6" i="30"/>
  <c r="A7" i="30"/>
  <c r="B7" i="30"/>
  <c r="C7" i="30"/>
  <c r="A8" i="30"/>
  <c r="B8" i="30"/>
  <c r="C8" i="30"/>
  <c r="A9" i="30"/>
  <c r="C9" i="30"/>
  <c r="A10" i="30"/>
  <c r="C10" i="30"/>
  <c r="H4" i="1"/>
  <c r="M4" i="1"/>
  <c r="O4" i="1"/>
  <c r="H5" i="1"/>
  <c r="M5" i="1"/>
  <c r="O5" i="1"/>
  <c r="H6" i="1"/>
  <c r="M6" i="1"/>
  <c r="O6" i="1"/>
  <c r="H7" i="1"/>
  <c r="M7" i="1"/>
  <c r="O7" i="1"/>
  <c r="H8" i="1"/>
  <c r="M8" i="1"/>
  <c r="O8" i="1"/>
  <c r="H9" i="1"/>
  <c r="M9" i="1"/>
  <c r="O9" i="1"/>
  <c r="H10" i="1"/>
  <c r="M10" i="1"/>
  <c r="O10" i="1"/>
  <c r="H11" i="1"/>
  <c r="M11" i="1"/>
  <c r="O11" i="1"/>
  <c r="H12" i="1"/>
  <c r="M12" i="1"/>
  <c r="O12" i="1"/>
  <c r="H13" i="1"/>
  <c r="M13" i="1"/>
  <c r="O13" i="1"/>
  <c r="H14" i="1"/>
  <c r="M14" i="1"/>
  <c r="O14" i="1"/>
  <c r="H15" i="1"/>
  <c r="M15" i="1"/>
  <c r="O15" i="1"/>
  <c r="H16" i="1"/>
  <c r="M16" i="1"/>
  <c r="O16" i="1"/>
  <c r="H17" i="1"/>
  <c r="M17" i="1"/>
  <c r="O17" i="1"/>
  <c r="H18" i="1"/>
  <c r="M18" i="1"/>
  <c r="O18" i="1"/>
  <c r="H19" i="1"/>
  <c r="M19" i="1"/>
  <c r="O19" i="1"/>
  <c r="H20" i="1"/>
  <c r="M20" i="1"/>
  <c r="O20" i="1"/>
  <c r="H21" i="1"/>
  <c r="M21" i="1"/>
  <c r="O21" i="1"/>
  <c r="H22" i="1"/>
  <c r="M22" i="1"/>
  <c r="O22" i="1"/>
  <c r="H23" i="1"/>
  <c r="M23" i="1"/>
  <c r="O23" i="1"/>
  <c r="H24" i="1"/>
  <c r="M24" i="1"/>
  <c r="O24" i="1"/>
  <c r="H25" i="1"/>
  <c r="M25" i="1"/>
  <c r="O25" i="1"/>
  <c r="H26" i="1"/>
  <c r="M26" i="1"/>
  <c r="O26" i="1"/>
  <c r="H27" i="1"/>
  <c r="M27" i="1"/>
  <c r="O27" i="1"/>
  <c r="H28" i="1"/>
  <c r="M28" i="1"/>
  <c r="O28" i="1"/>
  <c r="H29" i="1"/>
  <c r="M29" i="1"/>
  <c r="O29" i="1"/>
  <c r="H30" i="1"/>
  <c r="M30" i="1"/>
  <c r="O30" i="1"/>
  <c r="H31" i="1"/>
  <c r="M31" i="1"/>
  <c r="O31" i="1"/>
  <c r="H32" i="1"/>
  <c r="M32" i="1"/>
  <c r="O32" i="1"/>
  <c r="H33" i="1"/>
  <c r="M33" i="1"/>
  <c r="O33" i="1"/>
  <c r="H34" i="1"/>
  <c r="M34" i="1"/>
  <c r="O34" i="1"/>
  <c r="H35" i="1"/>
  <c r="M35" i="1"/>
  <c r="O35" i="1"/>
  <c r="H36" i="1"/>
  <c r="M36" i="1"/>
  <c r="O36" i="1"/>
  <c r="H37" i="1"/>
  <c r="M37" i="1"/>
  <c r="O37" i="1"/>
  <c r="H38" i="1"/>
  <c r="M38" i="1"/>
  <c r="O38" i="1"/>
  <c r="H39" i="1"/>
  <c r="M39" i="1"/>
  <c r="O39" i="1"/>
  <c r="H40" i="1"/>
  <c r="M40" i="1"/>
  <c r="O40" i="1"/>
  <c r="H41" i="1"/>
  <c r="M41" i="1"/>
  <c r="O41" i="1"/>
  <c r="H42" i="1"/>
  <c r="M42" i="1"/>
  <c r="O42" i="1"/>
  <c r="H43" i="1"/>
  <c r="M43" i="1"/>
  <c r="O43" i="1"/>
  <c r="H44" i="1"/>
  <c r="M44" i="1"/>
  <c r="O44" i="1"/>
  <c r="H45" i="1"/>
  <c r="M45" i="1"/>
  <c r="O45" i="1"/>
  <c r="H46" i="1"/>
  <c r="M46" i="1"/>
  <c r="O46" i="1"/>
  <c r="H47" i="1"/>
  <c r="M47" i="1"/>
  <c r="O47" i="1"/>
  <c r="H48" i="1"/>
  <c r="M48" i="1"/>
  <c r="O48" i="1"/>
  <c r="H49" i="1"/>
  <c r="M49" i="1"/>
  <c r="O49" i="1"/>
  <c r="H50" i="1"/>
  <c r="M50" i="1"/>
  <c r="O50" i="1"/>
  <c r="H51" i="1"/>
  <c r="M51" i="1"/>
  <c r="O51" i="1"/>
  <c r="H52" i="1"/>
  <c r="M52" i="1"/>
  <c r="O52" i="1"/>
  <c r="H53" i="1"/>
  <c r="M53" i="1"/>
  <c r="O53" i="1"/>
  <c r="H54" i="1"/>
  <c r="M54" i="1"/>
  <c r="O54" i="1"/>
  <c r="H55" i="1"/>
  <c r="M55" i="1"/>
  <c r="O55" i="1"/>
  <c r="H56" i="1"/>
  <c r="M56" i="1"/>
  <c r="O56" i="1"/>
  <c r="H57" i="1"/>
  <c r="M57" i="1"/>
  <c r="O57" i="1"/>
  <c r="H58" i="1"/>
  <c r="M58" i="1"/>
  <c r="O58" i="1"/>
  <c r="H59" i="1"/>
  <c r="M59" i="1"/>
  <c r="O59" i="1"/>
  <c r="H60" i="1"/>
  <c r="M60" i="1"/>
  <c r="O60" i="1"/>
  <c r="H61" i="1"/>
  <c r="M61" i="1"/>
  <c r="O61" i="1"/>
  <c r="H62" i="1"/>
  <c r="M62" i="1"/>
  <c r="O62" i="1"/>
  <c r="H63" i="1"/>
  <c r="M63" i="1"/>
  <c r="O63" i="1"/>
  <c r="H64" i="1"/>
  <c r="M64" i="1"/>
  <c r="O64" i="1"/>
  <c r="H65" i="1"/>
  <c r="M65" i="1"/>
  <c r="O65" i="1"/>
  <c r="H66" i="1"/>
  <c r="M66" i="1"/>
  <c r="O66" i="1"/>
  <c r="H67" i="1"/>
  <c r="M67" i="1"/>
  <c r="O67" i="1"/>
  <c r="H68" i="1"/>
  <c r="M68" i="1"/>
  <c r="O68" i="1"/>
  <c r="H69" i="1"/>
  <c r="M69" i="1"/>
  <c r="O69" i="1"/>
  <c r="H70" i="1"/>
  <c r="M70" i="1"/>
  <c r="O70" i="1"/>
  <c r="H71" i="1"/>
  <c r="M71" i="1"/>
  <c r="O71" i="1"/>
  <c r="H72" i="1"/>
  <c r="M72" i="1"/>
  <c r="O72" i="1"/>
  <c r="H73" i="1"/>
  <c r="M73" i="1"/>
  <c r="O73" i="1"/>
  <c r="H74" i="1"/>
  <c r="M74" i="1"/>
  <c r="O74" i="1"/>
  <c r="H75" i="1"/>
  <c r="M75" i="1"/>
  <c r="O75" i="1"/>
  <c r="H76" i="1"/>
  <c r="M76" i="1"/>
  <c r="O76" i="1"/>
  <c r="H77" i="1"/>
  <c r="M77" i="1"/>
  <c r="O77" i="1"/>
  <c r="H78" i="1"/>
  <c r="M78" i="1"/>
  <c r="O78" i="1"/>
  <c r="H79" i="1"/>
  <c r="M79" i="1"/>
  <c r="O79" i="1"/>
  <c r="H80" i="1"/>
  <c r="M80" i="1"/>
  <c r="O80" i="1"/>
  <c r="H81" i="1"/>
  <c r="M81" i="1"/>
  <c r="O81" i="1"/>
  <c r="H82" i="1"/>
  <c r="M82" i="1"/>
  <c r="O82" i="1"/>
  <c r="H83" i="1"/>
  <c r="M83" i="1"/>
  <c r="O83" i="1"/>
  <c r="H84" i="1"/>
  <c r="M84" i="1"/>
  <c r="O84" i="1"/>
  <c r="H85" i="1"/>
  <c r="M85" i="1"/>
  <c r="O85" i="1"/>
  <c r="H86" i="1"/>
  <c r="M86" i="1"/>
  <c r="O86" i="1"/>
  <c r="H87" i="1"/>
  <c r="M87" i="1"/>
  <c r="O87" i="1"/>
  <c r="H88" i="1"/>
  <c r="M88" i="1"/>
  <c r="O88" i="1"/>
  <c r="H89" i="1"/>
  <c r="M89" i="1"/>
  <c r="O89" i="1"/>
  <c r="H90" i="1"/>
  <c r="M90" i="1"/>
  <c r="O90" i="1"/>
  <c r="H91" i="1"/>
  <c r="M91" i="1"/>
  <c r="O91" i="1"/>
  <c r="H92" i="1"/>
  <c r="M92" i="1"/>
  <c r="O92" i="1"/>
  <c r="H93" i="1"/>
  <c r="M93" i="1"/>
  <c r="O93" i="1"/>
  <c r="H94" i="1"/>
  <c r="M94" i="1"/>
  <c r="O94" i="1"/>
  <c r="H95" i="1"/>
  <c r="M95" i="1"/>
  <c r="O95" i="1"/>
  <c r="H96" i="1"/>
  <c r="M96" i="1"/>
  <c r="O96" i="1"/>
  <c r="H97" i="1"/>
  <c r="M97" i="1"/>
  <c r="O97" i="1"/>
  <c r="H98" i="1"/>
  <c r="M98" i="1"/>
  <c r="O98" i="1"/>
  <c r="H99" i="1"/>
  <c r="M99" i="1"/>
  <c r="O99" i="1"/>
  <c r="H100" i="1"/>
  <c r="M100" i="1"/>
  <c r="O100" i="1"/>
  <c r="H101" i="1"/>
  <c r="M101" i="1"/>
  <c r="O101" i="1"/>
  <c r="H102" i="1"/>
  <c r="M102" i="1"/>
  <c r="O102" i="1"/>
  <c r="H103" i="1"/>
  <c r="M103" i="1"/>
  <c r="O103" i="1"/>
  <c r="H104" i="1"/>
  <c r="M104" i="1"/>
  <c r="O104" i="1"/>
  <c r="H105" i="1"/>
  <c r="M105" i="1"/>
  <c r="O105" i="1"/>
  <c r="H106" i="1"/>
  <c r="M106" i="1"/>
  <c r="O106" i="1"/>
  <c r="H107" i="1"/>
  <c r="M107" i="1"/>
  <c r="O107" i="1"/>
  <c r="H108" i="1"/>
  <c r="M108" i="1"/>
  <c r="O108" i="1"/>
  <c r="H109" i="1"/>
  <c r="M109" i="1"/>
  <c r="O109" i="1"/>
  <c r="H110" i="1"/>
  <c r="M110" i="1"/>
  <c r="O110" i="1"/>
  <c r="H111" i="1"/>
  <c r="M111" i="1"/>
  <c r="O111" i="1"/>
  <c r="H112" i="1"/>
  <c r="M112" i="1"/>
  <c r="O112" i="1"/>
  <c r="H113" i="1"/>
  <c r="M113" i="1"/>
  <c r="O113" i="1"/>
  <c r="H114" i="1"/>
  <c r="M114" i="1"/>
  <c r="O114" i="1"/>
  <c r="H115" i="1"/>
  <c r="M115" i="1"/>
  <c r="O115" i="1"/>
  <c r="H116" i="1"/>
  <c r="M116" i="1"/>
  <c r="O116" i="1"/>
  <c r="H117" i="1"/>
  <c r="M117" i="1"/>
  <c r="O117" i="1"/>
  <c r="H118" i="1"/>
  <c r="M118" i="1"/>
  <c r="O118" i="1"/>
  <c r="H119" i="1"/>
  <c r="M119" i="1"/>
  <c r="O119" i="1"/>
  <c r="H120" i="1"/>
  <c r="M120" i="1"/>
  <c r="O120" i="1"/>
  <c r="H121" i="1"/>
  <c r="M121" i="1"/>
  <c r="O121" i="1"/>
  <c r="H122" i="1"/>
  <c r="M122" i="1"/>
  <c r="O122" i="1"/>
  <c r="H123" i="1"/>
  <c r="M123" i="1"/>
  <c r="O123" i="1"/>
  <c r="H124" i="1"/>
  <c r="M124" i="1"/>
  <c r="O124" i="1"/>
  <c r="H125" i="1"/>
  <c r="M125" i="1"/>
  <c r="O125" i="1"/>
  <c r="H126" i="1"/>
  <c r="M126" i="1"/>
  <c r="O126" i="1"/>
  <c r="H127" i="1"/>
  <c r="M127" i="1"/>
  <c r="O127" i="1"/>
  <c r="H128" i="1"/>
  <c r="M128" i="1"/>
  <c r="O128" i="1"/>
  <c r="H129" i="1"/>
  <c r="M129" i="1"/>
  <c r="O129" i="1"/>
  <c r="H130" i="1"/>
  <c r="M130" i="1"/>
  <c r="O130" i="1"/>
  <c r="H131" i="1"/>
  <c r="M131" i="1"/>
  <c r="O131" i="1"/>
  <c r="H132" i="1"/>
  <c r="M132" i="1"/>
  <c r="O132" i="1"/>
  <c r="H133" i="1"/>
  <c r="M133" i="1"/>
  <c r="O133" i="1"/>
  <c r="H134" i="1"/>
  <c r="M134" i="1"/>
  <c r="O134" i="1"/>
  <c r="H135" i="1"/>
  <c r="M135" i="1"/>
  <c r="O135" i="1"/>
  <c r="H136" i="1"/>
  <c r="M136" i="1"/>
  <c r="O136" i="1"/>
  <c r="H137" i="1"/>
  <c r="M137" i="1"/>
  <c r="O137" i="1"/>
  <c r="H138" i="1"/>
  <c r="M138" i="1"/>
  <c r="O138" i="1"/>
  <c r="H139" i="1"/>
  <c r="M139" i="1"/>
  <c r="O139" i="1"/>
  <c r="H140" i="1"/>
  <c r="M140" i="1"/>
  <c r="O140" i="1"/>
  <c r="H141" i="1"/>
  <c r="M141" i="1"/>
  <c r="O141" i="1"/>
  <c r="H142" i="1"/>
  <c r="M142" i="1"/>
  <c r="O142" i="1"/>
  <c r="H143" i="1"/>
  <c r="M143" i="1"/>
  <c r="O143" i="1"/>
  <c r="H144" i="1"/>
  <c r="M144" i="1"/>
  <c r="O144" i="1"/>
  <c r="H145" i="1"/>
  <c r="M145" i="1"/>
  <c r="O145" i="1"/>
  <c r="H146" i="1"/>
  <c r="M146" i="1"/>
  <c r="O146" i="1"/>
  <c r="H147" i="1"/>
  <c r="M147" i="1"/>
  <c r="O147" i="1"/>
  <c r="H148" i="1"/>
  <c r="M148" i="1"/>
  <c r="O148" i="1"/>
  <c r="H149" i="1"/>
  <c r="M149" i="1"/>
  <c r="O149" i="1"/>
  <c r="H150" i="1"/>
  <c r="M150" i="1"/>
  <c r="O150" i="1"/>
  <c r="H151" i="1"/>
  <c r="M151" i="1"/>
  <c r="O151" i="1"/>
  <c r="H152" i="1"/>
  <c r="M152" i="1"/>
  <c r="O152" i="1"/>
  <c r="H153" i="1"/>
  <c r="M153" i="1"/>
  <c r="O153" i="1"/>
  <c r="H154" i="1"/>
  <c r="M154" i="1"/>
  <c r="O154" i="1"/>
  <c r="H155" i="1"/>
  <c r="M155" i="1"/>
  <c r="O155" i="1"/>
  <c r="H156" i="1"/>
  <c r="M156" i="1"/>
  <c r="O156" i="1"/>
  <c r="H157" i="1"/>
  <c r="M157" i="1"/>
  <c r="O157" i="1"/>
  <c r="H158" i="1"/>
  <c r="M158" i="1"/>
  <c r="O158" i="1"/>
  <c r="H159" i="1"/>
  <c r="M159" i="1"/>
  <c r="O159" i="1"/>
  <c r="H160" i="1"/>
  <c r="M160" i="1"/>
  <c r="O160" i="1"/>
  <c r="H161" i="1"/>
  <c r="M161" i="1"/>
  <c r="O161" i="1"/>
  <c r="H162" i="1"/>
  <c r="M162" i="1"/>
  <c r="O162" i="1"/>
  <c r="H163" i="1"/>
  <c r="M163" i="1"/>
  <c r="O163" i="1"/>
  <c r="H164" i="1"/>
  <c r="M164" i="1"/>
  <c r="O164" i="1"/>
  <c r="H165" i="1"/>
  <c r="M165" i="1"/>
  <c r="O165" i="1"/>
  <c r="H166" i="1"/>
  <c r="M166" i="1"/>
  <c r="O166" i="1"/>
  <c r="H167" i="1"/>
  <c r="M167" i="1"/>
  <c r="O167" i="1"/>
  <c r="H168" i="1"/>
  <c r="M168" i="1"/>
  <c r="O168" i="1"/>
  <c r="H169" i="1"/>
  <c r="M169" i="1"/>
  <c r="O169" i="1"/>
  <c r="H170" i="1"/>
  <c r="M170" i="1"/>
  <c r="O170" i="1"/>
  <c r="H171" i="1"/>
  <c r="M171" i="1"/>
  <c r="O171" i="1"/>
  <c r="H172" i="1"/>
  <c r="M172" i="1"/>
  <c r="O172" i="1"/>
  <c r="H173" i="1"/>
  <c r="M173" i="1"/>
  <c r="O173" i="1"/>
  <c r="H174" i="1"/>
  <c r="M174" i="1"/>
  <c r="O174" i="1"/>
  <c r="H175" i="1"/>
  <c r="M175" i="1"/>
  <c r="O175" i="1"/>
  <c r="H176" i="1"/>
  <c r="M176" i="1"/>
  <c r="O176" i="1"/>
  <c r="H177" i="1"/>
  <c r="M177" i="1"/>
  <c r="O177" i="1"/>
  <c r="H178" i="1"/>
  <c r="M178" i="1"/>
  <c r="O178" i="1"/>
  <c r="H179" i="1"/>
  <c r="M179" i="1"/>
  <c r="O179" i="1"/>
  <c r="H180" i="1"/>
  <c r="M180" i="1"/>
  <c r="O180" i="1"/>
  <c r="H181" i="1"/>
  <c r="M181" i="1"/>
  <c r="O181" i="1"/>
  <c r="H182" i="1"/>
  <c r="M182" i="1"/>
  <c r="O182" i="1"/>
  <c r="H183" i="1"/>
  <c r="M183" i="1"/>
  <c r="O183" i="1"/>
  <c r="H184" i="1"/>
  <c r="M184" i="1"/>
  <c r="O184" i="1"/>
  <c r="H185" i="1"/>
  <c r="M185" i="1"/>
  <c r="O185" i="1"/>
  <c r="H186" i="1"/>
  <c r="M186" i="1"/>
  <c r="O186" i="1"/>
  <c r="H187" i="1"/>
  <c r="M187" i="1"/>
  <c r="O187" i="1"/>
  <c r="H188" i="1"/>
  <c r="M188" i="1"/>
  <c r="O188" i="1"/>
  <c r="H189" i="1"/>
  <c r="M189" i="1"/>
  <c r="O189" i="1"/>
  <c r="H190" i="1"/>
  <c r="M190" i="1"/>
  <c r="O190" i="1"/>
  <c r="H191" i="1"/>
  <c r="M191" i="1"/>
  <c r="O191" i="1"/>
  <c r="H192" i="1"/>
  <c r="M192" i="1"/>
  <c r="O192" i="1"/>
  <c r="H193" i="1"/>
  <c r="M193" i="1"/>
  <c r="O193" i="1"/>
  <c r="H194" i="1"/>
  <c r="M194" i="1"/>
  <c r="O194" i="1"/>
  <c r="H195" i="1"/>
  <c r="M195" i="1"/>
  <c r="O195" i="1"/>
  <c r="H196" i="1"/>
  <c r="M196" i="1"/>
  <c r="O196" i="1"/>
  <c r="H197" i="1"/>
  <c r="M197" i="1"/>
  <c r="O197" i="1"/>
  <c r="H198" i="1"/>
  <c r="M198" i="1"/>
  <c r="O198" i="1"/>
  <c r="H199" i="1"/>
  <c r="M199" i="1"/>
  <c r="O199" i="1"/>
  <c r="H200" i="1"/>
  <c r="M200" i="1"/>
  <c r="O200" i="1"/>
  <c r="H201" i="1"/>
  <c r="M201" i="1"/>
  <c r="O201" i="1"/>
  <c r="H202" i="1"/>
  <c r="M202" i="1"/>
  <c r="O202" i="1"/>
  <c r="H203" i="1"/>
  <c r="M203" i="1"/>
  <c r="O203" i="1"/>
  <c r="H204" i="1"/>
  <c r="M204" i="1"/>
  <c r="O204" i="1"/>
  <c r="H205" i="1"/>
  <c r="M205" i="1"/>
  <c r="O205" i="1"/>
  <c r="H206" i="1"/>
  <c r="M206" i="1"/>
  <c r="O206" i="1"/>
  <c r="H207" i="1"/>
  <c r="M207" i="1"/>
  <c r="O207" i="1"/>
  <c r="H208" i="1"/>
  <c r="M208" i="1"/>
  <c r="O208" i="1"/>
  <c r="H209" i="1"/>
  <c r="M209" i="1"/>
  <c r="O209" i="1"/>
  <c r="H210" i="1"/>
  <c r="M210" i="1"/>
  <c r="O210" i="1"/>
  <c r="H211" i="1"/>
  <c r="M211" i="1"/>
  <c r="O211" i="1"/>
  <c r="J222" i="1"/>
  <c r="J223" i="1"/>
  <c r="J224" i="1"/>
  <c r="J225" i="1"/>
  <c r="J226" i="1"/>
  <c r="J227" i="1"/>
  <c r="J228" i="1"/>
  <c r="J229" i="1"/>
  <c r="J230" i="1"/>
  <c r="AA6" i="2"/>
  <c r="AB6" i="2"/>
  <c r="AC6" i="2"/>
  <c r="AD6" i="2"/>
  <c r="AG6" i="2"/>
  <c r="AH6" i="2"/>
  <c r="AI6" i="2"/>
  <c r="AA7" i="2"/>
  <c r="AB7" i="2"/>
  <c r="AC7" i="2"/>
  <c r="AD7" i="2"/>
  <c r="AG7" i="2"/>
  <c r="AH7" i="2"/>
  <c r="AI7" i="2"/>
  <c r="AA8" i="2"/>
  <c r="AB8" i="2"/>
  <c r="AC8" i="2"/>
  <c r="AD8" i="2"/>
  <c r="AG8" i="2"/>
  <c r="AH8" i="2"/>
  <c r="AI8" i="2"/>
  <c r="AA9" i="2"/>
  <c r="AB9" i="2"/>
  <c r="AC9" i="2"/>
  <c r="AD9" i="2"/>
  <c r="AG9" i="2"/>
  <c r="AH9" i="2"/>
  <c r="AI9" i="2"/>
  <c r="AA10" i="2"/>
  <c r="AB10" i="2"/>
  <c r="AC10" i="2"/>
  <c r="AD10" i="2"/>
  <c r="AG10" i="2"/>
  <c r="AH10" i="2"/>
  <c r="AI10" i="2"/>
  <c r="AA11" i="2"/>
  <c r="AB11" i="2"/>
  <c r="AC11" i="2"/>
  <c r="AD11" i="2"/>
  <c r="AG11" i="2"/>
  <c r="AH11" i="2"/>
  <c r="AI11" i="2"/>
  <c r="AA12" i="2"/>
  <c r="AB12" i="2"/>
  <c r="AC12" i="2"/>
  <c r="AD12" i="2"/>
  <c r="AG12" i="2"/>
  <c r="AH12" i="2"/>
  <c r="AI12" i="2"/>
  <c r="AA13" i="2"/>
  <c r="AB13" i="2"/>
  <c r="AC13" i="2"/>
  <c r="AD13" i="2"/>
  <c r="AG13" i="2"/>
  <c r="AH13" i="2"/>
  <c r="AI13" i="2"/>
  <c r="AA14" i="2"/>
  <c r="AB14" i="2"/>
  <c r="AC14" i="2"/>
  <c r="AD14" i="2"/>
  <c r="AG14" i="2"/>
  <c r="AH14" i="2"/>
  <c r="AI14" i="2"/>
  <c r="AA15" i="2"/>
  <c r="AB15" i="2"/>
  <c r="AC15" i="2"/>
  <c r="AD15" i="2"/>
  <c r="AG15" i="2"/>
  <c r="AH15" i="2"/>
  <c r="AI15" i="2"/>
  <c r="AA16" i="2"/>
  <c r="AB16" i="2"/>
  <c r="AC16" i="2"/>
  <c r="AD16" i="2"/>
  <c r="AG16" i="2"/>
  <c r="AH16" i="2"/>
  <c r="AI16" i="2"/>
  <c r="AA17" i="2"/>
  <c r="AB17" i="2"/>
  <c r="AC17" i="2"/>
  <c r="AD17" i="2"/>
  <c r="AG17" i="2"/>
  <c r="AH17" i="2"/>
  <c r="AI17" i="2"/>
  <c r="AA18" i="2"/>
  <c r="AB18" i="2"/>
  <c r="AC18" i="2"/>
  <c r="AD18" i="2"/>
  <c r="AG18" i="2"/>
  <c r="AH18" i="2"/>
  <c r="AI18" i="2"/>
  <c r="AA19" i="2"/>
  <c r="AB19" i="2"/>
  <c r="AC19" i="2"/>
  <c r="AD19" i="2"/>
  <c r="AG19" i="2"/>
  <c r="AH19" i="2"/>
  <c r="AI19" i="2"/>
  <c r="AA20" i="2"/>
  <c r="AB20" i="2"/>
  <c r="AC20" i="2"/>
  <c r="AD20" i="2"/>
  <c r="AG20" i="2"/>
  <c r="AH20" i="2"/>
  <c r="AI20" i="2"/>
  <c r="AA21" i="2"/>
  <c r="AB21" i="2"/>
  <c r="AC21" i="2"/>
  <c r="AD21" i="2"/>
  <c r="AG21" i="2"/>
  <c r="AH21" i="2"/>
  <c r="AI21" i="2"/>
  <c r="AA22" i="2"/>
  <c r="AB22" i="2"/>
  <c r="AC22" i="2"/>
  <c r="AD22" i="2"/>
  <c r="AG22" i="2"/>
  <c r="AH22" i="2"/>
  <c r="AI22" i="2"/>
  <c r="AA23" i="2"/>
  <c r="AB23" i="2"/>
  <c r="AC23" i="2"/>
  <c r="AD23" i="2"/>
  <c r="AG23" i="2"/>
  <c r="AH23" i="2"/>
  <c r="AI23" i="2"/>
  <c r="AA24" i="2"/>
  <c r="AB24" i="2"/>
  <c r="AC24" i="2"/>
  <c r="AD24" i="2"/>
  <c r="AG24" i="2"/>
  <c r="AH24" i="2"/>
  <c r="AI24" i="2"/>
  <c r="AA25" i="2"/>
  <c r="AB25" i="2"/>
  <c r="AC25" i="2"/>
  <c r="AD25" i="2"/>
  <c r="AG25" i="2"/>
  <c r="AH25" i="2"/>
  <c r="AI25" i="2"/>
  <c r="AA26" i="2"/>
  <c r="AB26" i="2"/>
  <c r="AC26" i="2"/>
  <c r="AD26" i="2"/>
  <c r="AG26" i="2"/>
  <c r="AH26" i="2"/>
  <c r="AI26" i="2"/>
  <c r="AA27" i="2"/>
  <c r="AB27" i="2"/>
  <c r="AC27" i="2"/>
  <c r="AD27" i="2"/>
  <c r="AG27" i="2"/>
  <c r="AH27" i="2"/>
  <c r="AI27" i="2"/>
  <c r="AA28" i="2"/>
  <c r="AB28" i="2"/>
  <c r="AC28" i="2"/>
  <c r="AD28" i="2"/>
  <c r="AG28" i="2"/>
  <c r="AH28" i="2"/>
  <c r="AI28" i="2"/>
  <c r="AA29" i="2"/>
  <c r="AB29" i="2"/>
  <c r="AC29" i="2"/>
  <c r="AD29" i="2"/>
  <c r="AG29" i="2"/>
  <c r="AH29" i="2"/>
  <c r="AI29" i="2"/>
  <c r="AA30" i="2"/>
  <c r="AB30" i="2"/>
  <c r="AC30" i="2"/>
  <c r="AD30" i="2"/>
  <c r="AG30" i="2"/>
  <c r="AH30" i="2"/>
  <c r="AI30" i="2"/>
  <c r="AA31" i="2"/>
  <c r="AB31" i="2"/>
  <c r="AC31" i="2"/>
  <c r="AD31" i="2"/>
  <c r="AG31" i="2"/>
  <c r="AH31" i="2"/>
  <c r="AI31" i="2"/>
  <c r="AA32" i="2"/>
  <c r="AB32" i="2"/>
  <c r="AC32" i="2"/>
  <c r="AD32" i="2"/>
  <c r="AG32" i="2"/>
  <c r="AH32" i="2"/>
  <c r="AI32" i="2"/>
  <c r="AA33" i="2"/>
  <c r="AB33" i="2"/>
  <c r="AC33" i="2"/>
  <c r="AD33" i="2"/>
  <c r="AG33" i="2"/>
  <c r="AH33" i="2"/>
  <c r="AI33" i="2"/>
  <c r="AA34" i="2"/>
  <c r="AB34" i="2"/>
  <c r="AC34" i="2"/>
  <c r="AD34" i="2"/>
  <c r="AG34" i="2"/>
  <c r="AH34" i="2"/>
  <c r="AI34" i="2"/>
  <c r="AA35" i="2"/>
  <c r="AB35" i="2"/>
  <c r="AC35" i="2"/>
  <c r="AD35" i="2"/>
  <c r="AG35" i="2"/>
  <c r="AH35" i="2"/>
  <c r="AI35" i="2"/>
  <c r="AA36" i="2"/>
  <c r="AB36" i="2"/>
  <c r="AC36" i="2"/>
  <c r="AD36" i="2"/>
  <c r="AG36" i="2"/>
  <c r="AH36" i="2"/>
  <c r="AI36" i="2"/>
  <c r="AA37" i="2"/>
  <c r="AB37" i="2"/>
  <c r="AC37" i="2"/>
  <c r="AD37" i="2"/>
  <c r="AG37" i="2"/>
  <c r="AH37" i="2"/>
  <c r="AI37" i="2"/>
  <c r="AA38" i="2"/>
  <c r="AB38" i="2"/>
  <c r="AC38" i="2"/>
  <c r="AD38" i="2"/>
  <c r="AG38" i="2"/>
  <c r="AH38" i="2"/>
  <c r="AI38" i="2"/>
  <c r="AA39" i="2"/>
  <c r="AB39" i="2"/>
  <c r="AC39" i="2"/>
  <c r="AD39" i="2"/>
  <c r="AG39" i="2"/>
  <c r="AH39" i="2"/>
  <c r="AI39" i="2"/>
  <c r="AA40" i="2"/>
  <c r="AB40" i="2"/>
  <c r="AC40" i="2"/>
  <c r="AD40" i="2"/>
  <c r="AI40" i="2"/>
  <c r="AA41" i="2"/>
  <c r="AB41" i="2"/>
  <c r="AC41" i="2"/>
  <c r="AD41" i="2"/>
  <c r="AI41" i="2"/>
  <c r="AA42" i="2"/>
  <c r="AB42" i="2"/>
  <c r="AC42" i="2"/>
  <c r="AD42" i="2"/>
  <c r="AI42" i="2"/>
  <c r="AA43" i="2"/>
  <c r="AB43" i="2"/>
  <c r="AC43" i="2"/>
  <c r="AD43" i="2"/>
  <c r="AI43" i="2"/>
  <c r="AA44" i="2"/>
  <c r="AB44" i="2"/>
  <c r="AC44" i="2"/>
  <c r="AD44" i="2"/>
  <c r="AI44" i="2"/>
  <c r="AA45" i="2"/>
  <c r="AB45" i="2"/>
  <c r="AC45" i="2"/>
  <c r="AD45" i="2"/>
  <c r="AI45" i="2"/>
  <c r="AA46" i="2"/>
  <c r="AB46" i="2"/>
  <c r="AC46" i="2"/>
  <c r="AD46" i="2"/>
  <c r="AI46" i="2"/>
  <c r="AA47" i="2"/>
  <c r="AB47" i="2"/>
  <c r="AC47" i="2"/>
  <c r="AD47" i="2"/>
  <c r="AI47" i="2"/>
  <c r="AA48" i="2"/>
  <c r="AB48" i="2"/>
  <c r="AC48" i="2"/>
  <c r="AD48" i="2"/>
  <c r="AI48" i="2"/>
  <c r="AA49" i="2"/>
  <c r="AB49" i="2"/>
  <c r="AC49" i="2"/>
  <c r="AD49" i="2"/>
  <c r="AI49" i="2"/>
  <c r="AA50" i="2"/>
  <c r="AB50" i="2"/>
  <c r="AC50" i="2"/>
  <c r="AD50" i="2"/>
  <c r="AI50" i="2"/>
  <c r="AA51" i="2"/>
  <c r="AB51" i="2"/>
  <c r="AC51" i="2"/>
  <c r="AD51" i="2"/>
  <c r="AI51" i="2"/>
  <c r="AA52" i="2"/>
  <c r="AB52" i="2"/>
  <c r="AC52" i="2"/>
  <c r="AD52" i="2"/>
  <c r="AI52" i="2"/>
  <c r="AA53" i="2"/>
  <c r="AB53" i="2"/>
  <c r="AC53" i="2"/>
  <c r="AD53" i="2"/>
  <c r="AI53" i="2"/>
  <c r="AA54" i="2"/>
  <c r="AB54" i="2"/>
  <c r="AC54" i="2"/>
  <c r="AD54" i="2"/>
  <c r="AI54" i="2"/>
  <c r="AA55" i="2"/>
  <c r="AB55" i="2"/>
  <c r="AC55" i="2"/>
  <c r="AD55" i="2"/>
  <c r="AI55" i="2"/>
  <c r="AA56" i="2"/>
  <c r="AB56" i="2"/>
  <c r="AC56" i="2"/>
  <c r="AD56" i="2"/>
  <c r="AI56" i="2"/>
  <c r="AA57" i="2"/>
  <c r="AB57" i="2"/>
  <c r="AC57" i="2"/>
  <c r="AD57" i="2"/>
  <c r="AI57" i="2"/>
  <c r="AA58" i="2"/>
  <c r="AB58" i="2"/>
  <c r="AC58" i="2"/>
  <c r="AD58" i="2"/>
  <c r="AI58" i="2"/>
  <c r="AA59" i="2"/>
  <c r="AB59" i="2"/>
  <c r="AC59" i="2"/>
  <c r="AD59" i="2"/>
  <c r="AI59" i="2"/>
  <c r="AA60" i="2"/>
  <c r="AB60" i="2"/>
  <c r="AC60" i="2"/>
  <c r="AD60" i="2"/>
  <c r="AI60" i="2"/>
  <c r="AA61" i="2"/>
  <c r="AB61" i="2"/>
  <c r="AC61" i="2"/>
  <c r="AD61" i="2"/>
  <c r="AI61" i="2"/>
  <c r="AA62" i="2"/>
  <c r="AB62" i="2"/>
  <c r="AC62" i="2"/>
  <c r="AD62" i="2"/>
  <c r="AI62" i="2"/>
  <c r="AA63" i="2"/>
  <c r="AB63" i="2"/>
  <c r="AC63" i="2"/>
  <c r="AD63" i="2"/>
  <c r="AI63" i="2"/>
  <c r="AA64" i="2"/>
  <c r="AB64" i="2"/>
  <c r="AC64" i="2"/>
  <c r="AD64" i="2"/>
  <c r="AI64" i="2"/>
  <c r="AA65" i="2"/>
  <c r="AB65" i="2"/>
  <c r="AC65" i="2"/>
  <c r="AD65" i="2"/>
  <c r="AI65" i="2"/>
  <c r="AA66" i="2"/>
  <c r="AB66" i="2"/>
  <c r="AC66" i="2"/>
  <c r="AD66" i="2"/>
  <c r="AI66" i="2"/>
  <c r="AA67" i="2"/>
  <c r="AB67" i="2"/>
  <c r="AC67" i="2"/>
  <c r="AD67" i="2"/>
  <c r="AI67" i="2"/>
  <c r="AA68" i="2"/>
  <c r="AB68" i="2"/>
  <c r="AC68" i="2"/>
  <c r="AD68" i="2"/>
  <c r="AI68" i="2"/>
  <c r="AA69" i="2"/>
  <c r="AB69" i="2"/>
  <c r="AC69" i="2"/>
  <c r="AD69" i="2"/>
  <c r="AI69" i="2"/>
  <c r="AA70" i="2"/>
  <c r="AB70" i="2"/>
  <c r="AC70" i="2"/>
  <c r="AD70" i="2"/>
  <c r="AI70" i="2"/>
  <c r="AA71" i="2"/>
  <c r="AB71" i="2"/>
  <c r="AC71" i="2"/>
  <c r="AD71" i="2"/>
  <c r="AI71" i="2"/>
  <c r="AA72" i="2"/>
  <c r="AB72" i="2"/>
  <c r="AC72" i="2"/>
  <c r="AD72" i="2"/>
  <c r="AI72" i="2"/>
  <c r="AA73" i="2"/>
  <c r="AB73" i="2"/>
  <c r="AC73" i="2"/>
  <c r="AD73" i="2"/>
  <c r="AI73" i="2"/>
  <c r="AA74" i="2"/>
  <c r="AB74" i="2"/>
  <c r="AC74" i="2"/>
  <c r="AD74" i="2"/>
  <c r="AI74" i="2"/>
  <c r="AA75" i="2"/>
  <c r="AB75" i="2"/>
  <c r="AC75" i="2"/>
  <c r="AD75" i="2"/>
  <c r="AI75" i="2"/>
  <c r="AA76" i="2"/>
  <c r="AB76" i="2"/>
  <c r="AC76" i="2"/>
  <c r="AD76" i="2"/>
  <c r="AI76" i="2"/>
  <c r="AA77" i="2"/>
  <c r="AB77" i="2"/>
  <c r="AC77" i="2"/>
  <c r="AD77" i="2"/>
  <c r="AI77" i="2"/>
  <c r="AA78" i="2"/>
  <c r="AB78" i="2"/>
  <c r="AC78" i="2"/>
  <c r="AD78" i="2"/>
  <c r="AI78" i="2"/>
  <c r="AA79" i="2"/>
  <c r="AB79" i="2"/>
  <c r="AC79" i="2"/>
  <c r="AD79" i="2"/>
  <c r="AI79" i="2"/>
  <c r="AA80" i="2"/>
  <c r="AB80" i="2"/>
  <c r="AC80" i="2"/>
  <c r="AD80" i="2"/>
  <c r="AI80" i="2"/>
  <c r="AA81" i="2"/>
  <c r="AB81" i="2"/>
  <c r="AC81" i="2"/>
  <c r="AD81" i="2"/>
  <c r="AI81" i="2"/>
  <c r="AA82" i="2"/>
  <c r="AB82" i="2"/>
  <c r="AC82" i="2"/>
  <c r="AD82" i="2"/>
  <c r="AI82" i="2"/>
  <c r="AA83" i="2"/>
  <c r="AB83" i="2"/>
  <c r="AC83" i="2"/>
  <c r="AD83" i="2"/>
  <c r="AI83" i="2"/>
  <c r="AA84" i="2"/>
  <c r="AB84" i="2"/>
  <c r="AC84" i="2"/>
  <c r="AD84" i="2"/>
  <c r="AI84" i="2"/>
  <c r="AA85" i="2"/>
  <c r="AB85" i="2"/>
  <c r="AC85" i="2"/>
  <c r="AD85" i="2"/>
  <c r="AI85" i="2"/>
  <c r="AA86" i="2"/>
  <c r="AB86" i="2"/>
  <c r="AC86" i="2"/>
  <c r="AD86" i="2"/>
  <c r="AI86" i="2"/>
  <c r="AA87" i="2"/>
  <c r="AB87" i="2"/>
  <c r="AC87" i="2"/>
  <c r="AD87" i="2"/>
  <c r="AI87" i="2"/>
  <c r="AA88" i="2"/>
  <c r="AB88" i="2"/>
  <c r="AC88" i="2"/>
  <c r="AD88" i="2"/>
  <c r="AI88" i="2"/>
  <c r="AA89" i="2"/>
  <c r="AB89" i="2"/>
  <c r="AC89" i="2"/>
  <c r="AD89" i="2"/>
  <c r="AI89" i="2"/>
  <c r="AA90" i="2"/>
  <c r="AB90" i="2"/>
  <c r="AC90" i="2"/>
  <c r="AD90" i="2"/>
  <c r="AI90" i="2"/>
  <c r="AA91" i="2"/>
  <c r="AB91" i="2"/>
  <c r="AC91" i="2"/>
  <c r="AD91" i="2"/>
  <c r="AI91" i="2"/>
  <c r="AA92" i="2"/>
  <c r="AB92" i="2"/>
  <c r="AC92" i="2"/>
  <c r="AD92" i="2"/>
  <c r="AI92" i="2"/>
  <c r="AA93" i="2"/>
  <c r="AB93" i="2"/>
  <c r="AC93" i="2"/>
  <c r="AD93" i="2"/>
  <c r="AI93" i="2"/>
  <c r="AA94" i="2"/>
  <c r="AB94" i="2"/>
  <c r="AC94" i="2"/>
  <c r="AD94" i="2"/>
  <c r="AI94" i="2"/>
  <c r="AA95" i="2"/>
  <c r="AB95" i="2"/>
  <c r="AC95" i="2"/>
  <c r="AD95" i="2"/>
  <c r="AI95" i="2"/>
  <c r="AA96" i="2"/>
  <c r="AB96" i="2"/>
  <c r="AC96" i="2"/>
  <c r="AD96" i="2"/>
  <c r="AI96" i="2"/>
  <c r="AA97" i="2"/>
  <c r="AB97" i="2"/>
  <c r="AC97" i="2"/>
  <c r="AD97" i="2"/>
  <c r="AI97" i="2"/>
  <c r="AA98" i="2"/>
  <c r="AB98" i="2"/>
  <c r="AC98" i="2"/>
  <c r="AC217" i="2"/>
  <c r="AD98" i="2"/>
  <c r="AI98" i="2"/>
  <c r="AA99" i="2"/>
  <c r="AB99" i="2"/>
  <c r="AC99" i="2"/>
  <c r="AD99" i="2"/>
  <c r="AI99" i="2"/>
  <c r="AA100" i="2"/>
  <c r="AB100" i="2"/>
  <c r="AC100" i="2"/>
  <c r="AD100" i="2"/>
  <c r="AI100" i="2"/>
  <c r="AA101" i="2"/>
  <c r="AB101" i="2"/>
  <c r="AC101" i="2"/>
  <c r="AD101" i="2"/>
  <c r="AI101" i="2"/>
  <c r="AA102" i="2"/>
  <c r="AB102" i="2"/>
  <c r="AC102" i="2"/>
  <c r="AD102" i="2"/>
  <c r="AI102" i="2"/>
  <c r="AA103" i="2"/>
  <c r="AB103" i="2"/>
  <c r="AC103" i="2"/>
  <c r="AD103" i="2"/>
  <c r="AI103" i="2"/>
  <c r="AA104" i="2"/>
  <c r="AB104" i="2"/>
  <c r="AC104" i="2"/>
  <c r="AD104" i="2"/>
  <c r="AI104" i="2"/>
  <c r="AA105" i="2"/>
  <c r="AB105" i="2"/>
  <c r="AC105" i="2"/>
  <c r="AD105" i="2"/>
  <c r="AI105" i="2"/>
  <c r="AA106" i="2"/>
  <c r="AB106" i="2"/>
  <c r="AC106" i="2"/>
  <c r="AD106" i="2"/>
  <c r="AI106" i="2"/>
  <c r="AA107" i="2"/>
  <c r="AB107" i="2"/>
  <c r="AC107" i="2"/>
  <c r="AD107" i="2"/>
  <c r="AI107" i="2"/>
  <c r="AA108" i="2"/>
  <c r="AB108" i="2"/>
  <c r="AC108" i="2"/>
  <c r="AD108" i="2"/>
  <c r="AI108" i="2"/>
  <c r="AA109" i="2"/>
  <c r="AB109" i="2"/>
  <c r="AC109" i="2"/>
  <c r="AD109" i="2"/>
  <c r="AI109" i="2"/>
  <c r="AA110" i="2"/>
  <c r="AB110" i="2"/>
  <c r="AC110" i="2"/>
  <c r="AD110" i="2"/>
  <c r="AI110" i="2"/>
  <c r="AA111" i="2"/>
  <c r="AB111" i="2"/>
  <c r="AC111" i="2"/>
  <c r="AD111" i="2"/>
  <c r="AI111" i="2"/>
  <c r="AA112" i="2"/>
  <c r="AB112" i="2"/>
  <c r="AC112" i="2"/>
  <c r="AD112" i="2"/>
  <c r="AI112" i="2"/>
  <c r="AA113" i="2"/>
  <c r="AB113" i="2"/>
  <c r="AC113" i="2"/>
  <c r="AD113" i="2"/>
  <c r="AI113" i="2"/>
  <c r="AA114" i="2"/>
  <c r="AB114" i="2"/>
  <c r="AC114" i="2"/>
  <c r="AD114" i="2"/>
  <c r="AI114" i="2"/>
  <c r="AA115" i="2"/>
  <c r="AB115" i="2"/>
  <c r="AC115" i="2"/>
  <c r="AD115" i="2"/>
  <c r="AI115" i="2"/>
  <c r="AA116" i="2"/>
  <c r="AB116" i="2"/>
  <c r="AC116" i="2"/>
  <c r="AD116" i="2"/>
  <c r="AI116" i="2"/>
  <c r="AA117" i="2"/>
  <c r="AB117" i="2"/>
  <c r="AC117" i="2"/>
  <c r="AD117" i="2"/>
  <c r="AI117" i="2"/>
  <c r="AA118" i="2"/>
  <c r="AB118" i="2"/>
  <c r="AC118" i="2"/>
  <c r="AD118" i="2"/>
  <c r="AI118" i="2"/>
  <c r="AA119" i="2"/>
  <c r="AB119" i="2"/>
  <c r="AC119" i="2"/>
  <c r="AD119" i="2"/>
  <c r="AI119" i="2"/>
  <c r="AA120" i="2"/>
  <c r="AB120" i="2"/>
  <c r="AC120" i="2"/>
  <c r="AD120" i="2"/>
  <c r="AI120" i="2"/>
  <c r="AA121" i="2"/>
  <c r="AB121" i="2"/>
  <c r="AC121" i="2"/>
  <c r="AD121" i="2"/>
  <c r="AI121" i="2"/>
  <c r="AA122" i="2"/>
  <c r="AB122" i="2"/>
  <c r="AC122" i="2"/>
  <c r="AD122" i="2"/>
  <c r="AI122" i="2"/>
  <c r="AA123" i="2"/>
  <c r="AB123" i="2"/>
  <c r="AC123" i="2"/>
  <c r="AD123" i="2"/>
  <c r="AI123" i="2"/>
  <c r="AA124" i="2"/>
  <c r="AB124" i="2"/>
  <c r="AC124" i="2"/>
  <c r="AD124" i="2"/>
  <c r="AI124" i="2"/>
  <c r="AA125" i="2"/>
  <c r="AB125" i="2"/>
  <c r="AC125" i="2"/>
  <c r="AD125" i="2"/>
  <c r="AI125" i="2"/>
  <c r="AA126" i="2"/>
  <c r="AB126" i="2"/>
  <c r="AC126" i="2"/>
  <c r="AD126" i="2"/>
  <c r="AI126" i="2"/>
  <c r="AA127" i="2"/>
  <c r="AB127" i="2"/>
  <c r="AC127" i="2"/>
  <c r="AD127" i="2"/>
  <c r="AI127" i="2"/>
  <c r="AA128" i="2"/>
  <c r="AB128" i="2"/>
  <c r="AC128" i="2"/>
  <c r="AD128" i="2"/>
  <c r="AI128" i="2"/>
  <c r="AA129" i="2"/>
  <c r="AB129" i="2"/>
  <c r="AC129" i="2"/>
  <c r="AD129" i="2"/>
  <c r="AI129" i="2"/>
  <c r="AA130" i="2"/>
  <c r="AB130" i="2"/>
  <c r="AC130" i="2"/>
  <c r="AD130" i="2"/>
  <c r="AI130" i="2"/>
  <c r="AA131" i="2"/>
  <c r="AB131" i="2"/>
  <c r="AC131" i="2"/>
  <c r="AD131" i="2"/>
  <c r="AI131" i="2"/>
  <c r="AA132" i="2"/>
  <c r="AB132" i="2"/>
  <c r="AC132" i="2"/>
  <c r="AD132" i="2"/>
  <c r="AI132" i="2"/>
  <c r="AA133" i="2"/>
  <c r="AB133" i="2"/>
  <c r="AC133" i="2"/>
  <c r="AD133" i="2"/>
  <c r="AI133" i="2"/>
  <c r="AA134" i="2"/>
  <c r="AB134" i="2"/>
  <c r="AC134" i="2"/>
  <c r="AD134" i="2"/>
  <c r="AI134" i="2"/>
  <c r="AA135" i="2"/>
  <c r="AB135" i="2"/>
  <c r="AC135" i="2"/>
  <c r="AD135" i="2"/>
  <c r="AI135" i="2"/>
  <c r="AA136" i="2"/>
  <c r="AB136" i="2"/>
  <c r="AC136" i="2"/>
  <c r="AD136" i="2"/>
  <c r="AI136" i="2"/>
  <c r="AA137" i="2"/>
  <c r="AB137" i="2"/>
  <c r="AC137" i="2"/>
  <c r="AD137" i="2"/>
  <c r="AI137" i="2"/>
  <c r="AA138" i="2"/>
  <c r="AB138" i="2"/>
  <c r="AC138" i="2"/>
  <c r="AD138" i="2"/>
  <c r="AI138" i="2"/>
  <c r="AA139" i="2"/>
  <c r="AB139" i="2"/>
  <c r="AC139" i="2"/>
  <c r="AD139" i="2"/>
  <c r="AI139" i="2"/>
  <c r="AA140" i="2"/>
  <c r="AB140" i="2"/>
  <c r="AC140" i="2"/>
  <c r="AD140" i="2"/>
  <c r="AI140" i="2"/>
  <c r="AA141" i="2"/>
  <c r="AB141" i="2"/>
  <c r="AC141" i="2"/>
  <c r="AD141" i="2"/>
  <c r="AI141" i="2"/>
  <c r="AA142" i="2"/>
  <c r="AB142" i="2"/>
  <c r="AC142" i="2"/>
  <c r="AD142" i="2"/>
  <c r="AI142" i="2"/>
  <c r="AA143" i="2"/>
  <c r="AB143" i="2"/>
  <c r="AC143" i="2"/>
  <c r="AD143" i="2"/>
  <c r="AI143" i="2"/>
  <c r="AA144" i="2"/>
  <c r="AB144" i="2"/>
  <c r="AC144" i="2"/>
  <c r="AD144" i="2"/>
  <c r="AI144" i="2"/>
  <c r="AA145" i="2"/>
  <c r="AB145" i="2"/>
  <c r="AC145" i="2"/>
  <c r="AD145" i="2"/>
  <c r="AI145" i="2"/>
  <c r="AA146" i="2"/>
  <c r="AB146" i="2"/>
  <c r="AC146" i="2"/>
  <c r="AD146" i="2"/>
  <c r="AI146" i="2"/>
  <c r="AA147" i="2"/>
  <c r="AB147" i="2"/>
  <c r="AC147" i="2"/>
  <c r="AD147" i="2"/>
  <c r="AI147" i="2"/>
  <c r="AA148" i="2"/>
  <c r="AB148" i="2"/>
  <c r="AC148" i="2"/>
  <c r="AD148" i="2"/>
  <c r="AI148" i="2"/>
  <c r="AA149" i="2"/>
  <c r="AB149" i="2"/>
  <c r="AC149" i="2"/>
  <c r="AD149" i="2"/>
  <c r="AI149" i="2"/>
  <c r="AA150" i="2"/>
  <c r="AB150" i="2"/>
  <c r="AC150" i="2"/>
  <c r="AD150" i="2"/>
  <c r="AI150" i="2"/>
  <c r="AA151" i="2"/>
  <c r="AB151" i="2"/>
  <c r="AC151" i="2"/>
  <c r="AD151" i="2"/>
  <c r="AI151" i="2"/>
  <c r="AA152" i="2"/>
  <c r="AB152" i="2"/>
  <c r="AC152" i="2"/>
  <c r="AD152" i="2"/>
  <c r="AI152" i="2"/>
  <c r="AA153" i="2"/>
  <c r="AB153" i="2"/>
  <c r="AC153" i="2"/>
  <c r="AD153" i="2"/>
  <c r="AI153" i="2"/>
  <c r="AA154" i="2"/>
  <c r="AB154" i="2"/>
  <c r="AC154" i="2"/>
  <c r="AD154" i="2"/>
  <c r="AI154" i="2"/>
  <c r="AA155" i="2"/>
  <c r="AB155" i="2"/>
  <c r="AC155" i="2"/>
  <c r="AD155" i="2"/>
  <c r="AI155" i="2"/>
  <c r="AA156" i="2"/>
  <c r="AB156" i="2"/>
  <c r="AC156" i="2"/>
  <c r="AD156" i="2"/>
  <c r="AI156" i="2"/>
  <c r="AA157" i="2"/>
  <c r="AB157" i="2"/>
  <c r="AC157" i="2"/>
  <c r="AD157" i="2"/>
  <c r="AI157" i="2"/>
  <c r="AA158" i="2"/>
  <c r="AB158" i="2"/>
  <c r="AC158" i="2"/>
  <c r="AD158" i="2"/>
  <c r="AI158" i="2"/>
  <c r="AA159" i="2"/>
  <c r="AB159" i="2"/>
  <c r="AC159" i="2"/>
  <c r="AD159" i="2"/>
  <c r="AI159" i="2"/>
  <c r="AA160" i="2"/>
  <c r="AB160" i="2"/>
  <c r="AC160" i="2"/>
  <c r="AD160" i="2"/>
  <c r="AI160" i="2"/>
  <c r="AA161" i="2"/>
  <c r="AB161" i="2"/>
  <c r="AC161" i="2"/>
  <c r="AD161" i="2"/>
  <c r="AI161" i="2"/>
  <c r="AA162" i="2"/>
  <c r="AB162" i="2"/>
  <c r="AC162" i="2"/>
  <c r="AD162" i="2"/>
  <c r="AI162" i="2"/>
  <c r="AA163" i="2"/>
  <c r="AB163" i="2"/>
  <c r="AC163" i="2"/>
  <c r="AD163" i="2"/>
  <c r="AI163" i="2"/>
  <c r="AA164" i="2"/>
  <c r="AB164" i="2"/>
  <c r="AC164" i="2"/>
  <c r="AD164" i="2"/>
  <c r="AI164" i="2"/>
  <c r="AA165" i="2"/>
  <c r="AB165" i="2"/>
  <c r="AC165" i="2"/>
  <c r="AD165" i="2"/>
  <c r="AI165" i="2"/>
  <c r="AA166" i="2"/>
  <c r="AB166" i="2"/>
  <c r="AC166" i="2"/>
  <c r="AD166" i="2"/>
  <c r="AI166" i="2"/>
  <c r="AA167" i="2"/>
  <c r="AB167" i="2"/>
  <c r="AC167" i="2"/>
  <c r="AD167" i="2"/>
  <c r="AI167" i="2"/>
  <c r="AA168" i="2"/>
  <c r="AB168" i="2"/>
  <c r="AC168" i="2"/>
  <c r="AD168" i="2"/>
  <c r="AI168" i="2"/>
  <c r="AA169" i="2"/>
  <c r="AB169" i="2"/>
  <c r="AC169" i="2"/>
  <c r="AD169" i="2"/>
  <c r="AI169" i="2"/>
  <c r="AA170" i="2"/>
  <c r="AB170" i="2"/>
  <c r="AC170" i="2"/>
  <c r="AD170" i="2"/>
  <c r="AI170" i="2"/>
  <c r="AA171" i="2"/>
  <c r="AB171" i="2"/>
  <c r="AC171" i="2"/>
  <c r="AD171" i="2"/>
  <c r="AI171" i="2"/>
  <c r="AA172" i="2"/>
  <c r="AB172" i="2"/>
  <c r="AC172" i="2"/>
  <c r="AD172" i="2"/>
  <c r="AI172" i="2"/>
  <c r="AA173" i="2"/>
  <c r="AB173" i="2"/>
  <c r="AC173" i="2"/>
  <c r="AD173" i="2"/>
  <c r="AI173" i="2"/>
  <c r="AA174" i="2"/>
  <c r="AB174" i="2"/>
  <c r="AC174" i="2"/>
  <c r="AD174" i="2"/>
  <c r="AI174" i="2"/>
  <c r="AA175" i="2"/>
  <c r="AB175" i="2"/>
  <c r="AC175" i="2"/>
  <c r="AD175" i="2"/>
  <c r="AI175" i="2"/>
  <c r="AA176" i="2"/>
  <c r="AB176" i="2"/>
  <c r="AC176" i="2"/>
  <c r="AD176" i="2"/>
  <c r="AI176" i="2"/>
  <c r="AA177" i="2"/>
  <c r="AB177" i="2"/>
  <c r="AC177" i="2"/>
  <c r="AD177" i="2"/>
  <c r="AI177" i="2"/>
  <c r="AA178" i="2"/>
  <c r="AB178" i="2"/>
  <c r="AC178" i="2"/>
  <c r="AD178" i="2"/>
  <c r="AI178" i="2"/>
  <c r="AA179" i="2"/>
  <c r="AB179" i="2"/>
  <c r="AC179" i="2"/>
  <c r="AD179" i="2"/>
  <c r="AI179" i="2"/>
  <c r="AA180" i="2"/>
  <c r="AB180" i="2"/>
  <c r="AC180" i="2"/>
  <c r="AD180" i="2"/>
  <c r="AI180" i="2"/>
  <c r="AA181" i="2"/>
  <c r="AB181" i="2"/>
  <c r="AC181" i="2"/>
  <c r="AD181" i="2"/>
  <c r="AI181" i="2"/>
  <c r="AA182" i="2"/>
  <c r="AB182" i="2"/>
  <c r="AC182" i="2"/>
  <c r="AD182" i="2"/>
  <c r="AI182" i="2"/>
  <c r="AA183" i="2"/>
  <c r="AB183" i="2"/>
  <c r="AC183" i="2"/>
  <c r="AD183" i="2"/>
  <c r="AI183" i="2"/>
  <c r="AA184" i="2"/>
  <c r="AB184" i="2"/>
  <c r="AC184" i="2"/>
  <c r="AD184" i="2"/>
  <c r="AI184" i="2"/>
  <c r="AA185" i="2"/>
  <c r="AB185" i="2"/>
  <c r="AC185" i="2"/>
  <c r="AD185" i="2"/>
  <c r="AI185" i="2"/>
  <c r="AA186" i="2"/>
  <c r="AB186" i="2"/>
  <c r="AC186" i="2"/>
  <c r="AD186" i="2"/>
  <c r="AI186" i="2"/>
  <c r="AA187" i="2"/>
  <c r="AB187" i="2"/>
  <c r="AC187" i="2"/>
  <c r="AD187" i="2"/>
  <c r="AI187" i="2"/>
  <c r="AA188" i="2"/>
  <c r="AB188" i="2"/>
  <c r="AC188" i="2"/>
  <c r="AD188" i="2"/>
  <c r="AI188" i="2"/>
  <c r="AA189" i="2"/>
  <c r="AB189" i="2"/>
  <c r="AC189" i="2"/>
  <c r="AD189" i="2"/>
  <c r="AI189" i="2"/>
  <c r="AA190" i="2"/>
  <c r="AB190" i="2"/>
  <c r="AC190" i="2"/>
  <c r="AD190" i="2"/>
  <c r="AI190" i="2"/>
  <c r="AA191" i="2"/>
  <c r="AB191" i="2"/>
  <c r="AC191" i="2"/>
  <c r="AD191" i="2"/>
  <c r="AI191" i="2"/>
  <c r="AA192" i="2"/>
  <c r="AB192" i="2"/>
  <c r="AC192" i="2"/>
  <c r="AD192" i="2"/>
  <c r="AI192" i="2"/>
  <c r="AA193" i="2"/>
  <c r="AB193" i="2"/>
  <c r="AC193" i="2"/>
  <c r="AD193" i="2"/>
  <c r="AI193" i="2"/>
  <c r="AA194" i="2"/>
  <c r="AB194" i="2"/>
  <c r="AC194" i="2"/>
  <c r="AD194" i="2"/>
  <c r="AI194" i="2"/>
  <c r="AA195" i="2"/>
  <c r="AB195" i="2"/>
  <c r="AC195" i="2"/>
  <c r="AD195" i="2"/>
  <c r="AI195" i="2"/>
  <c r="AA196" i="2"/>
  <c r="AB196" i="2"/>
  <c r="AC196" i="2"/>
  <c r="AD196" i="2"/>
  <c r="AI196" i="2"/>
  <c r="AA197" i="2"/>
  <c r="AB197" i="2"/>
  <c r="AC197" i="2"/>
  <c r="AD197" i="2"/>
  <c r="AI197" i="2"/>
  <c r="AA198" i="2"/>
  <c r="AB198" i="2"/>
  <c r="AC198" i="2"/>
  <c r="AD198" i="2"/>
  <c r="AI198" i="2"/>
  <c r="AA199" i="2"/>
  <c r="AB199" i="2"/>
  <c r="AC199" i="2"/>
  <c r="AD199" i="2"/>
  <c r="AI199" i="2"/>
  <c r="AA200" i="2"/>
  <c r="AB200" i="2"/>
  <c r="AC200" i="2"/>
  <c r="AD200" i="2"/>
  <c r="AI200" i="2"/>
  <c r="AA201" i="2"/>
  <c r="AB201" i="2"/>
  <c r="AC201" i="2"/>
  <c r="AD201" i="2"/>
  <c r="AI201" i="2"/>
  <c r="AA202" i="2"/>
  <c r="AB202" i="2"/>
  <c r="AC202" i="2"/>
  <c r="AD202" i="2"/>
  <c r="AI202" i="2"/>
  <c r="AA203" i="2"/>
  <c r="AB203" i="2"/>
  <c r="AC203" i="2"/>
  <c r="AD203" i="2"/>
  <c r="AI203" i="2"/>
  <c r="AA204" i="2"/>
  <c r="AB204" i="2"/>
  <c r="AC204" i="2"/>
  <c r="AD204" i="2"/>
  <c r="AI204" i="2"/>
  <c r="AA205" i="2"/>
  <c r="AB205" i="2"/>
  <c r="AC205" i="2"/>
  <c r="AD205" i="2"/>
  <c r="AI205" i="2"/>
  <c r="AA206" i="2"/>
  <c r="AB206" i="2"/>
  <c r="AC206" i="2"/>
  <c r="AD206" i="2"/>
  <c r="AI206" i="2"/>
  <c r="AA207" i="2"/>
  <c r="AB207" i="2"/>
  <c r="AC207" i="2"/>
  <c r="AD207" i="2"/>
  <c r="AI207" i="2"/>
  <c r="AA208" i="2"/>
  <c r="AB208" i="2"/>
  <c r="AC208" i="2"/>
  <c r="AD208" i="2"/>
  <c r="AI208" i="2"/>
  <c r="AA209" i="2"/>
  <c r="AB209" i="2"/>
  <c r="AC209" i="2"/>
  <c r="AD209" i="2"/>
  <c r="AI209" i="2"/>
  <c r="AA210" i="2"/>
  <c r="AB210" i="2"/>
  <c r="AC210" i="2"/>
  <c r="AD210" i="2"/>
  <c r="AI210" i="2"/>
  <c r="AA211" i="2"/>
  <c r="AB211" i="2"/>
  <c r="AC211" i="2"/>
  <c r="AD211" i="2"/>
  <c r="AI211" i="2"/>
  <c r="AA212" i="2"/>
  <c r="AB212" i="2"/>
  <c r="AC212" i="2"/>
  <c r="AD212" i="2"/>
  <c r="AI212" i="2"/>
  <c r="AA213" i="2"/>
  <c r="AB213" i="2"/>
  <c r="AC213" i="2"/>
  <c r="AD213" i="2"/>
  <c r="AI213" i="2"/>
  <c r="AA214" i="2"/>
  <c r="AB214" i="2"/>
  <c r="AC214" i="2"/>
  <c r="AD214" i="2"/>
  <c r="AI214" i="2"/>
  <c r="AA215" i="2"/>
  <c r="AB215" i="2"/>
  <c r="AC215" i="2"/>
  <c r="AD215" i="2"/>
  <c r="AI215" i="2"/>
  <c r="AC218" i="2"/>
  <c r="M8" i="4"/>
  <c r="O8" i="4"/>
  <c r="P8" i="4"/>
  <c r="Q8" i="4"/>
  <c r="R8" i="4"/>
  <c r="S8" i="4"/>
  <c r="T8" i="4"/>
  <c r="M9" i="4"/>
  <c r="P9" i="4"/>
  <c r="O9" i="4"/>
  <c r="Q9" i="4"/>
  <c r="R9" i="4"/>
  <c r="S9" i="4"/>
  <c r="M10" i="4"/>
  <c r="O10" i="4"/>
  <c r="P10" i="4"/>
  <c r="Q10" i="4"/>
  <c r="R10" i="4"/>
  <c r="S10" i="4"/>
  <c r="T10" i="4"/>
  <c r="M11" i="4"/>
  <c r="O11" i="4"/>
  <c r="P11" i="4"/>
  <c r="Q11" i="4"/>
  <c r="R11" i="4"/>
  <c r="S11" i="4"/>
  <c r="T11" i="4"/>
  <c r="M12" i="4"/>
  <c r="O12" i="4"/>
  <c r="P12" i="4"/>
  <c r="Q12" i="4"/>
  <c r="R12" i="4"/>
  <c r="S12" i="4"/>
  <c r="T12" i="4"/>
  <c r="M13" i="4"/>
  <c r="P13" i="4"/>
  <c r="O13" i="4"/>
  <c r="Q13" i="4"/>
  <c r="R13" i="4"/>
  <c r="S13" i="4"/>
  <c r="M14" i="4"/>
  <c r="O14" i="4"/>
  <c r="P14" i="4"/>
  <c r="Q14" i="4"/>
  <c r="R14" i="4"/>
  <c r="S14" i="4"/>
  <c r="T14" i="4"/>
  <c r="M15" i="4"/>
  <c r="O15" i="4"/>
  <c r="P15" i="4"/>
  <c r="Q15" i="4"/>
  <c r="R15" i="4"/>
  <c r="S15" i="4"/>
  <c r="T15" i="4"/>
  <c r="M16" i="4"/>
  <c r="O16" i="4"/>
  <c r="P16" i="4"/>
  <c r="Q16" i="4"/>
  <c r="R16" i="4"/>
  <c r="S16" i="4"/>
  <c r="T16" i="4"/>
  <c r="M17" i="4"/>
  <c r="P17" i="4"/>
  <c r="O17" i="4"/>
  <c r="Q17" i="4"/>
  <c r="R17" i="4"/>
  <c r="S17" i="4"/>
  <c r="M18" i="4"/>
  <c r="O18" i="4"/>
  <c r="P18" i="4"/>
  <c r="Q18" i="4"/>
  <c r="R18" i="4"/>
  <c r="S18" i="4"/>
  <c r="T18" i="4"/>
  <c r="M19" i="4"/>
  <c r="O19" i="4"/>
  <c r="P19" i="4"/>
  <c r="Q19" i="4"/>
  <c r="R19" i="4"/>
  <c r="S19" i="4"/>
  <c r="T19" i="4"/>
  <c r="M20" i="4"/>
  <c r="O20" i="4"/>
  <c r="P20" i="4"/>
  <c r="Q20" i="4"/>
  <c r="R20" i="4"/>
  <c r="S20" i="4"/>
  <c r="T20" i="4"/>
  <c r="M21" i="4"/>
  <c r="P21" i="4"/>
  <c r="O21" i="4"/>
  <c r="Q21" i="4"/>
  <c r="R21" i="4"/>
  <c r="S21" i="4"/>
  <c r="M22" i="4"/>
  <c r="O22" i="4"/>
  <c r="P22" i="4"/>
  <c r="Q22" i="4"/>
  <c r="R22" i="4"/>
  <c r="S22" i="4"/>
  <c r="T22" i="4"/>
  <c r="M23" i="4"/>
  <c r="O23" i="4"/>
  <c r="P23" i="4"/>
  <c r="Q23" i="4"/>
  <c r="R23" i="4"/>
  <c r="S23" i="4"/>
  <c r="T23" i="4"/>
  <c r="M24" i="4"/>
  <c r="O24" i="4"/>
  <c r="P24" i="4"/>
  <c r="Q24" i="4"/>
  <c r="R24" i="4"/>
  <c r="S24" i="4"/>
  <c r="T24" i="4"/>
  <c r="M25" i="4"/>
  <c r="P25" i="4"/>
  <c r="O25" i="4"/>
  <c r="Q25" i="4"/>
  <c r="R25" i="4"/>
  <c r="S25" i="4"/>
  <c r="M26" i="4"/>
  <c r="O26" i="4"/>
  <c r="P26" i="4"/>
  <c r="Q26" i="4"/>
  <c r="R26" i="4"/>
  <c r="S26" i="4"/>
  <c r="T26" i="4"/>
  <c r="M27" i="4"/>
  <c r="O27" i="4"/>
  <c r="P27" i="4"/>
  <c r="Q27" i="4"/>
  <c r="R27" i="4"/>
  <c r="S27" i="4"/>
  <c r="T27" i="4"/>
  <c r="M28" i="4"/>
  <c r="O28" i="4"/>
  <c r="P28" i="4"/>
  <c r="Q28" i="4"/>
  <c r="R28" i="4"/>
  <c r="S28" i="4"/>
  <c r="T28" i="4"/>
  <c r="M29" i="4"/>
  <c r="P29" i="4"/>
  <c r="O29" i="4"/>
  <c r="Q29" i="4"/>
  <c r="R29" i="4"/>
  <c r="S29" i="4"/>
  <c r="M30" i="4"/>
  <c r="O30" i="4"/>
  <c r="P30" i="4"/>
  <c r="Q30" i="4"/>
  <c r="R30" i="4"/>
  <c r="S30" i="4"/>
  <c r="T30" i="4"/>
  <c r="M31" i="4"/>
  <c r="O31" i="4"/>
  <c r="P31" i="4"/>
  <c r="Q31" i="4"/>
  <c r="R31" i="4"/>
  <c r="S31" i="4"/>
  <c r="T31" i="4"/>
  <c r="R2" i="5"/>
  <c r="P10" i="5"/>
  <c r="R10" i="5"/>
  <c r="S10" i="5"/>
  <c r="T10" i="5"/>
  <c r="U10" i="5"/>
  <c r="P11" i="5"/>
  <c r="R11" i="5"/>
  <c r="S11" i="5"/>
  <c r="T11" i="5"/>
  <c r="U11" i="5"/>
  <c r="P12" i="5"/>
  <c r="S12" i="5"/>
  <c r="R12" i="5"/>
  <c r="T12" i="5"/>
  <c r="U12" i="5"/>
  <c r="P13" i="5"/>
  <c r="R13" i="5"/>
  <c r="S13" i="5"/>
  <c r="T13" i="5"/>
  <c r="U13" i="5"/>
  <c r="P14" i="5"/>
  <c r="R14" i="5"/>
  <c r="S14" i="5"/>
  <c r="T14" i="5"/>
  <c r="U14" i="5"/>
  <c r="P15" i="5"/>
  <c r="R15" i="5"/>
  <c r="S15" i="5"/>
  <c r="T15" i="5"/>
  <c r="U15" i="5"/>
  <c r="P16" i="5"/>
  <c r="S16" i="5"/>
  <c r="R16" i="5"/>
  <c r="T16" i="5"/>
  <c r="U16" i="5"/>
  <c r="P17" i="5"/>
  <c r="R17" i="5"/>
  <c r="S17" i="5"/>
  <c r="T17" i="5"/>
  <c r="U17" i="5"/>
  <c r="P18" i="5"/>
  <c r="R18" i="5"/>
  <c r="S18" i="5"/>
  <c r="T18" i="5"/>
  <c r="U18" i="5"/>
  <c r="P19" i="5"/>
  <c r="R19" i="5"/>
  <c r="S19" i="5"/>
  <c r="T19" i="5"/>
  <c r="U19" i="5"/>
  <c r="P20" i="5"/>
  <c r="S20" i="5"/>
  <c r="R20" i="5"/>
  <c r="T20" i="5"/>
  <c r="U20" i="5"/>
  <c r="P21" i="5"/>
  <c r="R21" i="5"/>
  <c r="S21" i="5"/>
  <c r="T21" i="5"/>
  <c r="U21" i="5"/>
  <c r="P22" i="5"/>
  <c r="R22" i="5"/>
  <c r="S22" i="5"/>
  <c r="T22" i="5"/>
  <c r="U22" i="5"/>
  <c r="P23" i="5"/>
  <c r="R23" i="5"/>
  <c r="S23" i="5"/>
  <c r="T23" i="5"/>
  <c r="U23" i="5"/>
  <c r="P10" i="6"/>
  <c r="Q10" i="6"/>
  <c r="R10" i="6"/>
  <c r="S10" i="6"/>
  <c r="T10" i="6"/>
  <c r="U10" i="6"/>
  <c r="P11" i="6"/>
  <c r="Q11" i="6"/>
  <c r="R11" i="6"/>
  <c r="S11" i="6"/>
  <c r="T11" i="6"/>
  <c r="U11" i="6"/>
  <c r="P12" i="6"/>
  <c r="Q12" i="6"/>
  <c r="R12" i="6"/>
  <c r="S12" i="6"/>
  <c r="T12" i="6"/>
  <c r="U12" i="6"/>
  <c r="P13" i="6"/>
  <c r="Q13" i="6"/>
  <c r="R13" i="6"/>
  <c r="S13" i="6"/>
  <c r="T13" i="6"/>
  <c r="U13" i="6"/>
  <c r="P14" i="6"/>
  <c r="Q14" i="6"/>
  <c r="R14" i="6"/>
  <c r="S14" i="6"/>
  <c r="T14" i="6"/>
  <c r="U14" i="6"/>
  <c r="P15" i="6"/>
  <c r="Q15" i="6"/>
  <c r="R15" i="6"/>
  <c r="S15" i="6"/>
  <c r="T15" i="6"/>
  <c r="U15" i="6"/>
  <c r="P16" i="6"/>
  <c r="Q16" i="6"/>
  <c r="R16" i="6"/>
  <c r="S16" i="6"/>
  <c r="T16" i="6"/>
  <c r="U16" i="6"/>
  <c r="P17" i="6"/>
  <c r="Q17" i="6"/>
  <c r="R17" i="6"/>
  <c r="S17" i="6"/>
  <c r="T17" i="6"/>
  <c r="U17" i="6"/>
  <c r="P18" i="6"/>
  <c r="Q18" i="6"/>
  <c r="R18" i="6"/>
  <c r="S18" i="6"/>
  <c r="T18" i="6"/>
  <c r="U18" i="6"/>
  <c r="P19" i="6"/>
  <c r="Q19" i="6"/>
  <c r="R19" i="6"/>
  <c r="S19" i="6"/>
  <c r="T19" i="6"/>
  <c r="U19" i="6"/>
  <c r="P20" i="6"/>
  <c r="Q20" i="6"/>
  <c r="R20" i="6"/>
  <c r="S20" i="6"/>
  <c r="T20" i="6"/>
  <c r="U20" i="6"/>
  <c r="P21" i="6"/>
  <c r="Q21" i="6"/>
  <c r="R21" i="6"/>
  <c r="S21" i="6"/>
  <c r="T21" i="6"/>
  <c r="U21" i="6"/>
  <c r="P22" i="6"/>
  <c r="Q22" i="6"/>
  <c r="R22" i="6"/>
  <c r="S22" i="6"/>
  <c r="T22" i="6"/>
  <c r="U22" i="6"/>
  <c r="Y3" i="10"/>
  <c r="Z3" i="10"/>
  <c r="AA3" i="10"/>
  <c r="Y4" i="10"/>
  <c r="Z4" i="10"/>
  <c r="AA4" i="10"/>
  <c r="Y5" i="10"/>
  <c r="Z5" i="10"/>
  <c r="Y10" i="10"/>
  <c r="AA10" i="10"/>
  <c r="Z10" i="10"/>
  <c r="Y17" i="10"/>
  <c r="Z17" i="10"/>
  <c r="AA17" i="10"/>
  <c r="Y18" i="10"/>
  <c r="Z18" i="10"/>
  <c r="AA18" i="10"/>
  <c r="Y19" i="10"/>
  <c r="Z19" i="10"/>
  <c r="Y20" i="10"/>
  <c r="AA20" i="10"/>
  <c r="Z20" i="10"/>
  <c r="Y21" i="10"/>
  <c r="Z21" i="10"/>
  <c r="AA21" i="10"/>
  <c r="Y22" i="10"/>
  <c r="AA22" i="10"/>
  <c r="Z22" i="10"/>
  <c r="Y23" i="10"/>
  <c r="Z23" i="10"/>
  <c r="Y24" i="10"/>
  <c r="Z24" i="10"/>
  <c r="AA24" i="10"/>
  <c r="Y25" i="10"/>
  <c r="Z25" i="10"/>
  <c r="AA25" i="10"/>
  <c r="Y26" i="10"/>
  <c r="AA26" i="10"/>
  <c r="Z26" i="10"/>
  <c r="Y27" i="10"/>
  <c r="Z27" i="10"/>
  <c r="Y28" i="10"/>
  <c r="Z28" i="10"/>
  <c r="AA28" i="10"/>
  <c r="Y32" i="10"/>
  <c r="Z32" i="10"/>
  <c r="AA32" i="10"/>
  <c r="Y33" i="10"/>
  <c r="AA33" i="10"/>
  <c r="Z33" i="10"/>
  <c r="Y34" i="10"/>
  <c r="Z34" i="10"/>
  <c r="Y35" i="10"/>
  <c r="AA35" i="10"/>
  <c r="Z35" i="10"/>
  <c r="Y36" i="10"/>
  <c r="Z36" i="10"/>
  <c r="AA36" i="10"/>
  <c r="Y37" i="10"/>
  <c r="Z37" i="10"/>
  <c r="AA37" i="10"/>
  <c r="Y38" i="10"/>
  <c r="Z38" i="10"/>
  <c r="Y39" i="10"/>
  <c r="AA39" i="10"/>
  <c r="Z39" i="10"/>
  <c r="Y40" i="10"/>
  <c r="Z40" i="10"/>
  <c r="AA40" i="10"/>
  <c r="Y41" i="10"/>
  <c r="Z41" i="10"/>
  <c r="AA41" i="10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F64" i="12"/>
  <c r="I64" i="12"/>
  <c r="F65" i="12"/>
  <c r="I65" i="12"/>
  <c r="F66" i="12"/>
  <c r="I66" i="12"/>
  <c r="F67" i="12"/>
  <c r="I67" i="12"/>
  <c r="I82" i="12"/>
  <c r="I83" i="12"/>
  <c r="I84" i="12"/>
  <c r="I85" i="12"/>
  <c r="I86" i="12"/>
  <c r="I87" i="12"/>
  <c r="I88" i="12"/>
  <c r="I89" i="12"/>
  <c r="I90" i="12"/>
  <c r="I91" i="12"/>
  <c r="I92" i="12"/>
  <c r="I93" i="12"/>
  <c r="I94" i="12"/>
  <c r="I95" i="12"/>
  <c r="I96" i="12"/>
  <c r="I97" i="12"/>
  <c r="I98" i="12"/>
  <c r="I99" i="12"/>
  <c r="I100" i="12"/>
  <c r="I101" i="12"/>
  <c r="I102" i="12"/>
  <c r="I103" i="12"/>
  <c r="I104" i="12"/>
  <c r="I105" i="12"/>
  <c r="P115" i="12"/>
  <c r="P116" i="12"/>
  <c r="P117" i="12"/>
  <c r="P118" i="12"/>
  <c r="P119" i="12"/>
  <c r="P120" i="12"/>
  <c r="P121" i="12"/>
  <c r="P122" i="12"/>
  <c r="P123" i="12"/>
  <c r="P124" i="12"/>
  <c r="P125" i="12"/>
  <c r="P126" i="12"/>
  <c r="P127" i="12"/>
  <c r="P128" i="12"/>
  <c r="P139" i="12"/>
  <c r="P140" i="12"/>
  <c r="P141" i="12"/>
  <c r="P142" i="12"/>
  <c r="P143" i="12"/>
  <c r="P144" i="12"/>
  <c r="P145" i="12"/>
  <c r="P146" i="12"/>
  <c r="P147" i="12"/>
  <c r="P148" i="12"/>
  <c r="P149" i="12"/>
  <c r="P150" i="12"/>
  <c r="P151" i="12"/>
  <c r="L156" i="12"/>
  <c r="L157" i="12"/>
  <c r="L158" i="12"/>
  <c r="L159" i="12"/>
  <c r="L160" i="12"/>
  <c r="L161" i="12"/>
  <c r="L162" i="12"/>
  <c r="L163" i="12"/>
  <c r="L164" i="12"/>
  <c r="L165" i="12"/>
  <c r="B5" i="29"/>
  <c r="F5" i="29"/>
  <c r="H5" i="29"/>
  <c r="B6" i="29"/>
  <c r="F6" i="29"/>
  <c r="H6" i="29"/>
  <c r="B7" i="29"/>
  <c r="F7" i="29"/>
  <c r="H7" i="29"/>
  <c r="B8" i="29"/>
  <c r="F8" i="29"/>
  <c r="H8" i="29"/>
  <c r="B9" i="29"/>
  <c r="F9" i="29"/>
  <c r="H9" i="29"/>
  <c r="B10" i="29"/>
  <c r="F10" i="29"/>
  <c r="H10" i="29"/>
  <c r="B11" i="29"/>
  <c r="F11" i="29"/>
  <c r="H11" i="29"/>
  <c r="B12" i="29"/>
  <c r="F12" i="29"/>
  <c r="H12" i="29"/>
  <c r="B13" i="29"/>
  <c r="F13" i="29"/>
  <c r="H13" i="29"/>
  <c r="B14" i="29"/>
  <c r="F14" i="29"/>
  <c r="H14" i="29"/>
  <c r="B15" i="29"/>
  <c r="F15" i="29"/>
  <c r="H15" i="29"/>
  <c r="B16" i="29"/>
  <c r="F16" i="29"/>
  <c r="H16" i="29"/>
  <c r="B17" i="29"/>
  <c r="F17" i="29"/>
  <c r="H17" i="29"/>
  <c r="H18" i="29"/>
  <c r="H19" i="29"/>
  <c r="H20" i="29"/>
  <c r="H21" i="29"/>
  <c r="H22" i="29"/>
  <c r="H23" i="29"/>
  <c r="H24" i="29"/>
  <c r="H25" i="29"/>
  <c r="H26" i="29"/>
  <c r="H27" i="29"/>
  <c r="H28" i="29"/>
  <c r="R4" i="13"/>
  <c r="U4" i="13"/>
  <c r="R5" i="13"/>
  <c r="T5" i="13"/>
  <c r="T6" i="13"/>
  <c r="U5" i="13"/>
  <c r="R6" i="13"/>
  <c r="R7" i="13"/>
  <c r="R8" i="13"/>
  <c r="R9" i="13"/>
  <c r="R10" i="13"/>
  <c r="R11" i="13"/>
  <c r="R12" i="13"/>
  <c r="R13" i="13"/>
  <c r="I4" i="15"/>
  <c r="J4" i="15"/>
  <c r="I5" i="15"/>
  <c r="J5" i="15"/>
  <c r="I6" i="15"/>
  <c r="J6" i="15"/>
  <c r="I7" i="15"/>
  <c r="J7" i="15"/>
  <c r="I8" i="15"/>
  <c r="J8" i="15"/>
  <c r="I9" i="15"/>
  <c r="J9" i="15"/>
  <c r="I10" i="15"/>
  <c r="J10" i="15"/>
  <c r="I11" i="15"/>
  <c r="J11" i="15"/>
  <c r="I12" i="15"/>
  <c r="J12" i="15"/>
  <c r="I13" i="15"/>
  <c r="J13" i="15"/>
  <c r="I14" i="15"/>
  <c r="J14" i="15"/>
  <c r="I15" i="15"/>
  <c r="J15" i="15"/>
  <c r="I16" i="15"/>
  <c r="J16" i="15"/>
  <c r="I17" i="15"/>
  <c r="J17" i="15"/>
  <c r="I18" i="15"/>
  <c r="J18" i="15"/>
  <c r="I19" i="15"/>
  <c r="J19" i="15"/>
  <c r="I20" i="15"/>
  <c r="J20" i="15"/>
  <c r="I21" i="15"/>
  <c r="J21" i="15"/>
  <c r="I22" i="15"/>
  <c r="J22" i="15"/>
  <c r="I23" i="15"/>
  <c r="J23" i="15"/>
  <c r="I24" i="15"/>
  <c r="J24" i="15"/>
  <c r="I25" i="15"/>
  <c r="J25" i="15"/>
  <c r="I26" i="15"/>
  <c r="J26" i="15"/>
  <c r="I27" i="15"/>
  <c r="J27" i="15"/>
  <c r="I28" i="15"/>
  <c r="J28" i="15"/>
  <c r="I29" i="15"/>
  <c r="J29" i="15"/>
  <c r="I30" i="15"/>
  <c r="J30" i="15"/>
  <c r="I31" i="15"/>
  <c r="J31" i="15"/>
  <c r="I32" i="15"/>
  <c r="J32" i="15"/>
  <c r="I33" i="15"/>
  <c r="J33" i="15"/>
  <c r="I34" i="15"/>
  <c r="J34" i="15"/>
  <c r="I35" i="15"/>
  <c r="J35" i="15"/>
  <c r="I36" i="15"/>
  <c r="J36" i="15"/>
  <c r="I37" i="15"/>
  <c r="J37" i="15"/>
  <c r="I38" i="15"/>
  <c r="J38" i="15"/>
  <c r="I39" i="15"/>
  <c r="J39" i="15"/>
  <c r="I42" i="15"/>
  <c r="J42" i="15"/>
  <c r="I43" i="15"/>
  <c r="J43" i="15"/>
  <c r="I44" i="15"/>
  <c r="J44" i="15"/>
  <c r="I47" i="15"/>
  <c r="J47" i="15"/>
  <c r="I48" i="15"/>
  <c r="J48" i="15"/>
  <c r="I49" i="15"/>
  <c r="J49" i="15"/>
  <c r="I50" i="15"/>
  <c r="J50" i="15"/>
  <c r="I51" i="15"/>
  <c r="J51" i="15"/>
  <c r="I52" i="15"/>
  <c r="J52" i="15"/>
  <c r="I53" i="15"/>
  <c r="J53" i="15"/>
  <c r="I54" i="15"/>
  <c r="J54" i="15"/>
  <c r="I55" i="15"/>
  <c r="J55" i="15"/>
  <c r="I56" i="15"/>
  <c r="J56" i="15"/>
  <c r="I57" i="15"/>
  <c r="J57" i="15"/>
  <c r="I58" i="15"/>
  <c r="J58" i="15"/>
  <c r="I59" i="15"/>
  <c r="J59" i="15"/>
  <c r="I60" i="15"/>
  <c r="J60" i="15"/>
  <c r="I61" i="15"/>
  <c r="J61" i="15"/>
  <c r="I62" i="15"/>
  <c r="J62" i="15"/>
  <c r="I63" i="15"/>
  <c r="J63" i="15"/>
  <c r="I64" i="15"/>
  <c r="J64" i="15"/>
  <c r="I65" i="15"/>
  <c r="J65" i="15"/>
  <c r="I66" i="15"/>
  <c r="J66" i="15"/>
  <c r="I67" i="15"/>
  <c r="J67" i="15"/>
  <c r="I68" i="15"/>
  <c r="J68" i="15"/>
  <c r="I69" i="15"/>
  <c r="J69" i="15"/>
  <c r="I70" i="15"/>
  <c r="J70" i="15"/>
  <c r="I71" i="15"/>
  <c r="J71" i="15"/>
  <c r="I72" i="15"/>
  <c r="J72" i="15"/>
  <c r="I73" i="15"/>
  <c r="J73" i="15"/>
  <c r="I74" i="15"/>
  <c r="J74" i="15"/>
  <c r="I75" i="15"/>
  <c r="J75" i="15"/>
  <c r="I76" i="15"/>
  <c r="J76" i="15"/>
  <c r="I77" i="15"/>
  <c r="J77" i="15"/>
  <c r="I78" i="15"/>
  <c r="J78" i="15"/>
  <c r="I79" i="15"/>
  <c r="J79" i="15"/>
  <c r="I80" i="15"/>
  <c r="J80" i="15"/>
  <c r="I81" i="15"/>
  <c r="J81" i="15"/>
  <c r="I82" i="15"/>
  <c r="J82" i="15"/>
  <c r="I83" i="15"/>
  <c r="J83" i="15"/>
  <c r="I84" i="15"/>
  <c r="J84" i="15"/>
  <c r="I85" i="15"/>
  <c r="J85" i="15"/>
  <c r="I86" i="15"/>
  <c r="J86" i="15"/>
  <c r="I87" i="15"/>
  <c r="J87" i="15"/>
  <c r="I88" i="15"/>
  <c r="J88" i="15"/>
  <c r="I89" i="15"/>
  <c r="J89" i="15"/>
  <c r="I90" i="15"/>
  <c r="J90" i="15"/>
  <c r="I91" i="15"/>
  <c r="J91" i="15"/>
  <c r="I92" i="15"/>
  <c r="J92" i="15"/>
  <c r="I93" i="15"/>
  <c r="J93" i="15"/>
  <c r="I94" i="15"/>
  <c r="J94" i="15"/>
  <c r="I95" i="15"/>
  <c r="J95" i="15"/>
  <c r="I96" i="15"/>
  <c r="J96" i="15"/>
  <c r="I97" i="15"/>
  <c r="J97" i="15"/>
  <c r="I98" i="15"/>
  <c r="J98" i="15"/>
  <c r="I99" i="15"/>
  <c r="J99" i="15"/>
  <c r="I100" i="15"/>
  <c r="J100" i="15"/>
  <c r="I101" i="15"/>
  <c r="J101" i="15"/>
  <c r="I102" i="15"/>
  <c r="J102" i="15"/>
  <c r="I103" i="15"/>
  <c r="J103" i="15"/>
  <c r="I104" i="15"/>
  <c r="J104" i="15"/>
  <c r="I105" i="15"/>
  <c r="J105" i="15"/>
  <c r="I106" i="15"/>
  <c r="J106" i="15"/>
  <c r="I107" i="15"/>
  <c r="J107" i="15"/>
  <c r="I108" i="15"/>
  <c r="J108" i="15"/>
  <c r="I109" i="15"/>
  <c r="J109" i="15"/>
  <c r="I110" i="15"/>
  <c r="J110" i="15"/>
  <c r="I111" i="15"/>
  <c r="J111" i="15"/>
  <c r="I112" i="15"/>
  <c r="J112" i="15"/>
  <c r="I113" i="15"/>
  <c r="J113" i="15"/>
  <c r="I114" i="15"/>
  <c r="J114" i="15"/>
  <c r="I115" i="15"/>
  <c r="J115" i="15"/>
  <c r="I116" i="15"/>
  <c r="J116" i="15"/>
  <c r="I117" i="15"/>
  <c r="J117" i="15"/>
  <c r="I118" i="15"/>
  <c r="J118" i="15"/>
  <c r="I119" i="15"/>
  <c r="J119" i="15"/>
  <c r="I120" i="15"/>
  <c r="J120" i="15"/>
  <c r="I121" i="15"/>
  <c r="J121" i="15"/>
  <c r="I122" i="15"/>
  <c r="J122" i="15"/>
  <c r="I123" i="15"/>
  <c r="J123" i="15"/>
  <c r="I124" i="15"/>
  <c r="J124" i="15"/>
  <c r="I125" i="15"/>
  <c r="J125" i="15"/>
  <c r="I126" i="15"/>
  <c r="J126" i="15"/>
  <c r="I127" i="15"/>
  <c r="J127" i="15"/>
  <c r="I128" i="15"/>
  <c r="J128" i="15"/>
  <c r="I129" i="15"/>
  <c r="J129" i="15"/>
  <c r="I130" i="15"/>
  <c r="J130" i="15"/>
  <c r="I131" i="15"/>
  <c r="J131" i="15"/>
  <c r="I132" i="15"/>
  <c r="J132" i="15"/>
  <c r="I133" i="15"/>
  <c r="J133" i="15"/>
  <c r="I134" i="15"/>
  <c r="J134" i="15"/>
  <c r="I135" i="15"/>
  <c r="J135" i="15"/>
  <c r="I136" i="15"/>
  <c r="J136" i="15"/>
  <c r="I137" i="15"/>
  <c r="J137" i="15"/>
  <c r="I138" i="15"/>
  <c r="J138" i="15"/>
  <c r="I139" i="15"/>
  <c r="J139" i="15"/>
  <c r="I140" i="15"/>
  <c r="J140" i="15"/>
  <c r="I141" i="15"/>
  <c r="J141" i="15"/>
  <c r="I142" i="15"/>
  <c r="J142" i="15"/>
  <c r="I143" i="15"/>
  <c r="J143" i="15"/>
  <c r="I144" i="15"/>
  <c r="J144" i="15"/>
  <c r="I145" i="15"/>
  <c r="J145" i="15"/>
  <c r="I146" i="15"/>
  <c r="J146" i="15"/>
  <c r="I147" i="15"/>
  <c r="J147" i="15"/>
  <c r="I148" i="15"/>
  <c r="J148" i="15"/>
  <c r="I149" i="15"/>
  <c r="J149" i="15"/>
  <c r="I150" i="15"/>
  <c r="J150" i="15"/>
  <c r="I151" i="15"/>
  <c r="J151" i="15"/>
  <c r="I152" i="15"/>
  <c r="J152" i="15"/>
  <c r="I153" i="15"/>
  <c r="J153" i="15"/>
  <c r="I154" i="15"/>
  <c r="J154" i="15"/>
  <c r="I155" i="15"/>
  <c r="J155" i="15"/>
  <c r="I156" i="15"/>
  <c r="J156" i="15"/>
  <c r="I157" i="15"/>
  <c r="J157" i="15"/>
  <c r="I158" i="15"/>
  <c r="J158" i="15"/>
  <c r="I159" i="15"/>
  <c r="J159" i="15"/>
  <c r="I160" i="15"/>
  <c r="J160" i="15"/>
  <c r="I161" i="15"/>
  <c r="J161" i="15"/>
  <c r="I162" i="15"/>
  <c r="J162" i="15"/>
  <c r="I163" i="15"/>
  <c r="J163" i="15"/>
  <c r="I164" i="15"/>
  <c r="J164" i="15"/>
  <c r="I165" i="15"/>
  <c r="J165" i="15"/>
  <c r="I166" i="15"/>
  <c r="J166" i="15"/>
  <c r="I167" i="15"/>
  <c r="J167" i="15"/>
  <c r="I168" i="15"/>
  <c r="J168" i="15"/>
  <c r="I169" i="15"/>
  <c r="J169" i="15"/>
  <c r="I170" i="15"/>
  <c r="J170" i="15"/>
  <c r="I171" i="15"/>
  <c r="J171" i="15"/>
  <c r="I172" i="15"/>
  <c r="J172" i="15"/>
  <c r="I173" i="15"/>
  <c r="J173" i="15"/>
  <c r="I174" i="15"/>
  <c r="J174" i="15"/>
  <c r="I175" i="15"/>
  <c r="J175" i="15"/>
  <c r="I176" i="15"/>
  <c r="J176" i="15"/>
  <c r="I177" i="15"/>
  <c r="J177" i="15"/>
  <c r="I178" i="15"/>
  <c r="J178" i="15"/>
  <c r="I179" i="15"/>
  <c r="J179" i="15"/>
  <c r="I180" i="15"/>
  <c r="J180" i="15"/>
  <c r="I181" i="15"/>
  <c r="J181" i="15"/>
  <c r="I182" i="15"/>
  <c r="J182" i="15"/>
  <c r="I183" i="15"/>
  <c r="J183" i="15"/>
  <c r="I184" i="15"/>
  <c r="J184" i="15"/>
  <c r="I185" i="15"/>
  <c r="J185" i="15"/>
  <c r="I186" i="15"/>
  <c r="J186" i="15"/>
  <c r="I187" i="15"/>
  <c r="J187" i="15"/>
  <c r="I188" i="15"/>
  <c r="J188" i="15"/>
  <c r="I189" i="15"/>
  <c r="J189" i="15"/>
  <c r="I190" i="15"/>
  <c r="J190" i="15"/>
  <c r="I191" i="15"/>
  <c r="J191" i="15"/>
  <c r="I192" i="15"/>
  <c r="J192" i="15"/>
  <c r="I193" i="15"/>
  <c r="J193" i="15"/>
  <c r="I194" i="15"/>
  <c r="J194" i="15"/>
  <c r="I195" i="15"/>
  <c r="J195" i="15"/>
  <c r="I196" i="15"/>
  <c r="J196" i="15"/>
  <c r="I197" i="15"/>
  <c r="J197" i="15"/>
  <c r="I198" i="15"/>
  <c r="J198" i="15"/>
  <c r="I199" i="15"/>
  <c r="J199" i="15"/>
  <c r="I200" i="15"/>
  <c r="J200" i="15"/>
  <c r="I201" i="15"/>
  <c r="J201" i="15"/>
  <c r="I202" i="15"/>
  <c r="J202" i="15"/>
  <c r="I203" i="15"/>
  <c r="J203" i="15"/>
  <c r="I204" i="15"/>
  <c r="J204" i="15"/>
  <c r="I205" i="15"/>
  <c r="J205" i="15"/>
  <c r="I206" i="15"/>
  <c r="J206" i="15"/>
  <c r="I207" i="15"/>
  <c r="J207" i="15"/>
  <c r="I208" i="15"/>
  <c r="J208" i="15"/>
  <c r="I209" i="15"/>
  <c r="J209" i="15"/>
  <c r="I210" i="15"/>
  <c r="J210" i="15"/>
  <c r="I211" i="15"/>
  <c r="J211" i="15"/>
  <c r="I212" i="15"/>
  <c r="J212" i="15"/>
  <c r="I213" i="15"/>
  <c r="J213" i="15"/>
  <c r="I214" i="15"/>
  <c r="J214" i="15"/>
  <c r="I215" i="15"/>
  <c r="J215" i="15"/>
  <c r="I216" i="15"/>
  <c r="J216" i="15"/>
  <c r="I217" i="15"/>
  <c r="J217" i="15"/>
  <c r="I218" i="15"/>
  <c r="J218" i="15"/>
  <c r="I219" i="15"/>
  <c r="J219" i="15"/>
  <c r="I220" i="15"/>
  <c r="J220" i="15"/>
  <c r="I221" i="15"/>
  <c r="J221" i="15"/>
  <c r="I222" i="15"/>
  <c r="J222" i="15"/>
  <c r="I223" i="15"/>
  <c r="J223" i="15"/>
  <c r="I224" i="15"/>
  <c r="J224" i="15"/>
  <c r="I225" i="15"/>
  <c r="J225" i="15"/>
  <c r="I226" i="15"/>
  <c r="J226" i="15"/>
  <c r="I227" i="15"/>
  <c r="J227" i="15"/>
  <c r="I228" i="15"/>
  <c r="J228" i="15"/>
  <c r="I229" i="15"/>
  <c r="J229" i="15"/>
  <c r="I230" i="15"/>
  <c r="J230" i="15"/>
  <c r="I231" i="15"/>
  <c r="J231" i="15"/>
  <c r="I232" i="15"/>
  <c r="J232" i="15"/>
  <c r="I233" i="15"/>
  <c r="J233" i="15"/>
  <c r="I234" i="15"/>
  <c r="J234" i="15"/>
  <c r="I235" i="15"/>
  <c r="J235" i="15"/>
  <c r="I236" i="15"/>
  <c r="J236" i="15"/>
  <c r="I237" i="15"/>
  <c r="J237" i="15"/>
  <c r="I238" i="15"/>
  <c r="J238" i="15"/>
  <c r="I239" i="15"/>
  <c r="J239" i="15"/>
  <c r="I240" i="15"/>
  <c r="J240" i="15"/>
  <c r="I241" i="15"/>
  <c r="J241" i="15"/>
  <c r="I242" i="15"/>
  <c r="J242" i="15"/>
  <c r="I243" i="15"/>
  <c r="J243" i="15"/>
  <c r="I244" i="15"/>
  <c r="J244" i="15"/>
  <c r="I245" i="15"/>
  <c r="J245" i="15"/>
  <c r="I246" i="15"/>
  <c r="J246" i="15"/>
  <c r="I247" i="15"/>
  <c r="J247" i="15"/>
  <c r="I248" i="15"/>
  <c r="J248" i="15"/>
  <c r="I249" i="15"/>
  <c r="J249" i="15"/>
  <c r="I250" i="15"/>
  <c r="J250" i="15"/>
  <c r="I251" i="15"/>
  <c r="J251" i="15"/>
  <c r="I252" i="15"/>
  <c r="J252" i="15"/>
  <c r="I253" i="15"/>
  <c r="J253" i="15"/>
  <c r="I254" i="15"/>
  <c r="J254" i="15"/>
  <c r="I255" i="15"/>
  <c r="J255" i="15"/>
  <c r="I256" i="15"/>
  <c r="J256" i="15"/>
  <c r="I257" i="15"/>
  <c r="J257" i="15"/>
  <c r="I258" i="15"/>
  <c r="J258" i="15"/>
  <c r="I259" i="15"/>
  <c r="J259" i="15"/>
  <c r="I260" i="15"/>
  <c r="J260" i="15"/>
  <c r="I261" i="15"/>
  <c r="J261" i="15"/>
  <c r="I262" i="15"/>
  <c r="J262" i="15"/>
  <c r="I263" i="15"/>
  <c r="J263" i="15"/>
  <c r="I264" i="15"/>
  <c r="J264" i="15"/>
  <c r="I265" i="15"/>
  <c r="J265" i="15"/>
  <c r="I266" i="15"/>
  <c r="J266" i="15"/>
  <c r="I267" i="15"/>
  <c r="J267" i="15"/>
  <c r="I268" i="15"/>
  <c r="J268" i="15"/>
  <c r="I269" i="15"/>
  <c r="J269" i="15"/>
  <c r="I270" i="15"/>
  <c r="J270" i="15"/>
  <c r="I271" i="15"/>
  <c r="J271" i="15"/>
  <c r="I272" i="15"/>
  <c r="J272" i="15"/>
  <c r="I273" i="15"/>
  <c r="J273" i="15"/>
  <c r="I274" i="15"/>
  <c r="J274" i="15"/>
  <c r="I275" i="15"/>
  <c r="J275" i="15"/>
  <c r="I276" i="15"/>
  <c r="J276" i="15"/>
  <c r="I277" i="15"/>
  <c r="J277" i="15"/>
  <c r="I278" i="15"/>
  <c r="J278" i="15"/>
  <c r="I279" i="15"/>
  <c r="J279" i="15"/>
  <c r="I280" i="15"/>
  <c r="J280" i="15"/>
  <c r="I281" i="15"/>
  <c r="J281" i="15"/>
  <c r="I282" i="15"/>
  <c r="J282" i="15"/>
  <c r="I283" i="15"/>
  <c r="J283" i="15"/>
  <c r="I284" i="15"/>
  <c r="J284" i="15"/>
  <c r="I285" i="15"/>
  <c r="J285" i="15"/>
  <c r="I286" i="15"/>
  <c r="J286" i="15"/>
  <c r="I287" i="15"/>
  <c r="J287" i="15"/>
  <c r="I288" i="15"/>
  <c r="J288" i="15"/>
  <c r="I289" i="15"/>
  <c r="J289" i="15"/>
  <c r="I290" i="15"/>
  <c r="J290" i="15"/>
  <c r="I291" i="15"/>
  <c r="J291" i="15"/>
  <c r="I294" i="15"/>
  <c r="J294" i="15"/>
  <c r="F202" i="39"/>
  <c r="I295" i="15"/>
  <c r="J295" i="15"/>
  <c r="F203" i="39"/>
  <c r="I296" i="15"/>
  <c r="J296" i="15"/>
  <c r="F204" i="39"/>
  <c r="I297" i="15"/>
  <c r="J297" i="15"/>
  <c r="F205" i="39"/>
  <c r="I298" i="15"/>
  <c r="J298" i="15"/>
  <c r="F206" i="39"/>
  <c r="I299" i="15"/>
  <c r="J299" i="15"/>
  <c r="F207" i="39"/>
  <c r="I300" i="15"/>
  <c r="J300" i="15"/>
  <c r="F208" i="39"/>
  <c r="I301" i="15"/>
  <c r="J301" i="15"/>
  <c r="F209" i="39"/>
  <c r="I302" i="15"/>
  <c r="J302" i="15"/>
  <c r="F210" i="39"/>
  <c r="I303" i="15"/>
  <c r="J303" i="15"/>
  <c r="F211" i="39"/>
  <c r="I306" i="15"/>
  <c r="J306" i="15"/>
  <c r="I307" i="15"/>
  <c r="J307" i="15"/>
  <c r="I308" i="15"/>
  <c r="J308" i="15"/>
  <c r="I309" i="15"/>
  <c r="J309" i="15"/>
  <c r="I310" i="15"/>
  <c r="J310" i="15"/>
  <c r="I311" i="15"/>
  <c r="J311" i="15"/>
  <c r="I312" i="15"/>
  <c r="J312" i="15"/>
  <c r="I313" i="15"/>
  <c r="J313" i="15"/>
  <c r="I314" i="15"/>
  <c r="J314" i="15"/>
  <c r="I317" i="15"/>
  <c r="J317" i="15"/>
  <c r="I318" i="15"/>
  <c r="J318" i="15"/>
  <c r="I319" i="15"/>
  <c r="J319" i="15"/>
  <c r="I320" i="15"/>
  <c r="J320" i="15"/>
  <c r="I321" i="15"/>
  <c r="J321" i="15"/>
  <c r="I322" i="15"/>
  <c r="J322" i="15"/>
  <c r="I323" i="15"/>
  <c r="J323" i="15"/>
  <c r="I324" i="15"/>
  <c r="J324" i="15"/>
  <c r="I325" i="15"/>
  <c r="J325" i="15"/>
  <c r="I326" i="15"/>
  <c r="J326" i="15"/>
  <c r="I327" i="15"/>
  <c r="J327" i="15"/>
  <c r="I328" i="15"/>
  <c r="J328" i="15"/>
  <c r="I329" i="15"/>
  <c r="J329" i="15"/>
  <c r="I330" i="15"/>
  <c r="J330" i="15"/>
  <c r="I331" i="15"/>
  <c r="J331" i="15"/>
  <c r="I332" i="15"/>
  <c r="J332" i="15"/>
  <c r="I333" i="15"/>
  <c r="J333" i="15"/>
  <c r="I334" i="15"/>
  <c r="J334" i="15"/>
  <c r="I335" i="15"/>
  <c r="J335" i="15"/>
  <c r="I336" i="15"/>
  <c r="J336" i="15"/>
  <c r="I337" i="15"/>
  <c r="J337" i="15"/>
  <c r="I338" i="15"/>
  <c r="J338" i="15"/>
  <c r="I339" i="15"/>
  <c r="J339" i="15"/>
  <c r="I340" i="15"/>
  <c r="J340" i="15"/>
  <c r="I341" i="15"/>
  <c r="J341" i="15"/>
  <c r="I342" i="15"/>
  <c r="J342" i="15"/>
  <c r="I343" i="15"/>
  <c r="J343" i="15"/>
  <c r="I344" i="15"/>
  <c r="J344" i="15"/>
  <c r="I345" i="15"/>
  <c r="J345" i="15"/>
  <c r="I346" i="15"/>
  <c r="J346" i="15"/>
  <c r="I347" i="15"/>
  <c r="J347" i="15"/>
  <c r="I348" i="15"/>
  <c r="J348" i="15"/>
  <c r="I349" i="15"/>
  <c r="J349" i="15"/>
  <c r="I350" i="15"/>
  <c r="J350" i="15"/>
  <c r="I351" i="15"/>
  <c r="J351" i="15"/>
  <c r="I352" i="15"/>
  <c r="J352" i="15"/>
  <c r="I353" i="15"/>
  <c r="J353" i="15"/>
  <c r="I354" i="15"/>
  <c r="J354" i="15"/>
  <c r="I355" i="15"/>
  <c r="J355" i="15"/>
  <c r="I356" i="15"/>
  <c r="J356" i="15"/>
  <c r="I357" i="15"/>
  <c r="J357" i="15"/>
  <c r="I358" i="15"/>
  <c r="J358" i="15"/>
  <c r="I359" i="15"/>
  <c r="J359" i="15"/>
  <c r="I360" i="15"/>
  <c r="J360" i="15"/>
  <c r="I361" i="15"/>
  <c r="J361" i="15"/>
  <c r="I362" i="15"/>
  <c r="J362" i="15"/>
  <c r="I363" i="15"/>
  <c r="J363" i="15"/>
  <c r="I364" i="15"/>
  <c r="J364" i="15"/>
  <c r="I365" i="15"/>
  <c r="J365" i="15"/>
  <c r="I366" i="15"/>
  <c r="J366" i="15"/>
  <c r="I367" i="15"/>
  <c r="J367" i="15"/>
  <c r="I368" i="15"/>
  <c r="J368" i="15"/>
  <c r="I369" i="15"/>
  <c r="J369" i="15"/>
  <c r="I370" i="15"/>
  <c r="J370" i="15"/>
  <c r="I371" i="15"/>
  <c r="J371" i="15"/>
  <c r="I372" i="15"/>
  <c r="J372" i="15"/>
  <c r="I373" i="15"/>
  <c r="J373" i="15"/>
  <c r="I374" i="15"/>
  <c r="J374" i="15"/>
  <c r="I375" i="15"/>
  <c r="J375" i="15"/>
  <c r="I376" i="15"/>
  <c r="J376" i="15"/>
  <c r="I377" i="15"/>
  <c r="J377" i="15"/>
  <c r="I378" i="15"/>
  <c r="J378" i="15"/>
  <c r="I379" i="15"/>
  <c r="J379" i="15"/>
  <c r="I380" i="15"/>
  <c r="J380" i="15"/>
  <c r="I381" i="15"/>
  <c r="J381" i="15"/>
  <c r="I382" i="15"/>
  <c r="J382" i="15"/>
  <c r="I383" i="15"/>
  <c r="J383" i="15"/>
  <c r="I384" i="15"/>
  <c r="J384" i="15"/>
  <c r="I385" i="15"/>
  <c r="J385" i="15"/>
  <c r="I386" i="15"/>
  <c r="J386" i="15"/>
  <c r="I387" i="15"/>
  <c r="J387" i="15"/>
  <c r="I388" i="15"/>
  <c r="J388" i="15"/>
  <c r="I389" i="15"/>
  <c r="J389" i="15"/>
  <c r="I390" i="15"/>
  <c r="J390" i="15"/>
  <c r="I391" i="15"/>
  <c r="J391" i="15"/>
  <c r="I392" i="15"/>
  <c r="J392" i="15"/>
  <c r="I393" i="15"/>
  <c r="J393" i="15"/>
  <c r="I394" i="15"/>
  <c r="J394" i="15"/>
  <c r="I395" i="15"/>
  <c r="J395" i="15"/>
  <c r="I396" i="15"/>
  <c r="J396" i="15"/>
  <c r="I397" i="15"/>
  <c r="J397" i="15"/>
  <c r="I398" i="15"/>
  <c r="J398" i="15"/>
  <c r="I399" i="15"/>
  <c r="J399" i="15"/>
  <c r="I400" i="15"/>
  <c r="J400" i="15"/>
  <c r="I401" i="15"/>
  <c r="J401" i="15"/>
  <c r="I402" i="15"/>
  <c r="J402" i="15"/>
  <c r="I403" i="15"/>
  <c r="J403" i="15"/>
  <c r="I404" i="15"/>
  <c r="J404" i="15"/>
  <c r="I405" i="15"/>
  <c r="J405" i="15"/>
  <c r="I406" i="15"/>
  <c r="J406" i="15"/>
  <c r="I407" i="15"/>
  <c r="J407" i="15"/>
  <c r="I408" i="15"/>
  <c r="J408" i="15"/>
  <c r="I409" i="15"/>
  <c r="J409" i="15"/>
  <c r="I410" i="15"/>
  <c r="J410" i="15"/>
  <c r="I411" i="15"/>
  <c r="J411" i="15"/>
  <c r="I412" i="15"/>
  <c r="J412" i="15"/>
  <c r="I413" i="15"/>
  <c r="J413" i="15"/>
  <c r="I414" i="15"/>
  <c r="J414" i="15"/>
  <c r="I415" i="15"/>
  <c r="J415" i="15"/>
  <c r="I416" i="15"/>
  <c r="J416" i="15"/>
  <c r="I417" i="15"/>
  <c r="J417" i="15"/>
  <c r="I418" i="15"/>
  <c r="J418" i="15"/>
  <c r="I419" i="15"/>
  <c r="J419" i="15"/>
  <c r="I420" i="15"/>
  <c r="J420" i="15"/>
  <c r="I421" i="15"/>
  <c r="J421" i="15"/>
  <c r="I422" i="15"/>
  <c r="J422" i="15"/>
  <c r="I423" i="15"/>
  <c r="J423" i="15"/>
  <c r="I424" i="15"/>
  <c r="J424" i="15"/>
  <c r="I425" i="15"/>
  <c r="J425" i="15"/>
  <c r="I426" i="15"/>
  <c r="J426" i="15"/>
  <c r="I427" i="15"/>
  <c r="J427" i="15"/>
  <c r="I428" i="15"/>
  <c r="J428" i="15"/>
  <c r="I429" i="15"/>
  <c r="J429" i="15"/>
  <c r="I430" i="15"/>
  <c r="J430" i="15"/>
  <c r="I431" i="15"/>
  <c r="J431" i="15"/>
  <c r="I432" i="15"/>
  <c r="J432" i="15"/>
  <c r="I433" i="15"/>
  <c r="J433" i="15"/>
  <c r="I434" i="15"/>
  <c r="J434" i="15"/>
  <c r="I435" i="15"/>
  <c r="J435" i="15"/>
  <c r="I436" i="15"/>
  <c r="J436" i="15"/>
  <c r="I437" i="15"/>
  <c r="J437" i="15"/>
  <c r="I438" i="15"/>
  <c r="J438" i="15"/>
  <c r="I439" i="15"/>
  <c r="J439" i="15"/>
  <c r="I440" i="15"/>
  <c r="J440" i="15"/>
  <c r="I441" i="15"/>
  <c r="J441" i="15"/>
  <c r="I442" i="15"/>
  <c r="J442" i="15"/>
  <c r="I443" i="15"/>
  <c r="J443" i="15"/>
  <c r="I444" i="15"/>
  <c r="J444" i="15"/>
  <c r="I445" i="15"/>
  <c r="J445" i="15"/>
  <c r="I446" i="15"/>
  <c r="J446" i="15"/>
  <c r="I447" i="15"/>
  <c r="J447" i="15"/>
  <c r="I448" i="15"/>
  <c r="J448" i="15"/>
  <c r="I449" i="15"/>
  <c r="J449" i="15"/>
  <c r="D4" i="16"/>
  <c r="D5" i="16"/>
  <c r="D6" i="16"/>
  <c r="D7" i="16"/>
  <c r="D8" i="16"/>
  <c r="D9" i="16"/>
  <c r="B14" i="16"/>
  <c r="C14" i="16"/>
  <c r="D14" i="16"/>
  <c r="E14" i="16"/>
  <c r="F14" i="16"/>
  <c r="G14" i="16"/>
  <c r="B15" i="16"/>
  <c r="C15" i="16"/>
  <c r="D15" i="16"/>
  <c r="E15" i="16"/>
  <c r="F15" i="16"/>
  <c r="G15" i="16"/>
  <c r="B16" i="16"/>
  <c r="C16" i="16"/>
  <c r="D16" i="16"/>
  <c r="E16" i="16"/>
  <c r="F16" i="16"/>
  <c r="G16" i="16"/>
  <c r="B17" i="16"/>
  <c r="C17" i="16"/>
  <c r="D17" i="16"/>
  <c r="E17" i="16"/>
  <c r="F17" i="16"/>
  <c r="G17" i="16"/>
  <c r="B18" i="16"/>
  <c r="C18" i="16"/>
  <c r="D18" i="16"/>
  <c r="E18" i="16"/>
  <c r="F18" i="16"/>
  <c r="G18" i="16"/>
  <c r="B19" i="16"/>
  <c r="C19" i="16"/>
  <c r="D19" i="16"/>
  <c r="E19" i="16"/>
  <c r="F19" i="16"/>
  <c r="G19" i="16"/>
  <c r="B20" i="16"/>
  <c r="C20" i="16"/>
  <c r="D20" i="16"/>
  <c r="E20" i="16"/>
  <c r="F20" i="16"/>
  <c r="G20" i="16"/>
  <c r="B21" i="16"/>
  <c r="C21" i="16"/>
  <c r="D21" i="16"/>
  <c r="E21" i="16"/>
  <c r="F21" i="16"/>
  <c r="G21" i="16"/>
  <c r="B22" i="16"/>
  <c r="C22" i="16"/>
  <c r="D22" i="16"/>
  <c r="E22" i="16"/>
  <c r="F22" i="16"/>
  <c r="G22" i="16"/>
  <c r="B23" i="16"/>
  <c r="C23" i="16"/>
  <c r="D23" i="16"/>
  <c r="E23" i="16"/>
  <c r="F23" i="16"/>
  <c r="G23" i="16"/>
  <c r="B24" i="16"/>
  <c r="C24" i="16"/>
  <c r="D24" i="16"/>
  <c r="E24" i="16"/>
  <c r="F24" i="16"/>
  <c r="G24" i="16"/>
  <c r="B25" i="16"/>
  <c r="C25" i="16"/>
  <c r="D25" i="16"/>
  <c r="E25" i="16"/>
  <c r="F25" i="16"/>
  <c r="G25" i="16"/>
  <c r="B26" i="16"/>
  <c r="C26" i="16"/>
  <c r="D26" i="16"/>
  <c r="E26" i="16"/>
  <c r="F26" i="16"/>
  <c r="G26" i="16"/>
  <c r="B27" i="16"/>
  <c r="C27" i="16"/>
  <c r="D27" i="16"/>
  <c r="E27" i="16"/>
  <c r="F27" i="16"/>
  <c r="G27" i="16"/>
  <c r="B28" i="16"/>
  <c r="C28" i="16"/>
  <c r="D28" i="16"/>
  <c r="E28" i="16"/>
  <c r="F28" i="16"/>
  <c r="G28" i="16"/>
  <c r="B29" i="16"/>
  <c r="C29" i="16"/>
  <c r="D29" i="16"/>
  <c r="E29" i="16"/>
  <c r="F29" i="16"/>
  <c r="G29" i="16"/>
  <c r="B30" i="16"/>
  <c r="C30" i="16"/>
  <c r="D30" i="16"/>
  <c r="E30" i="16"/>
  <c r="F30" i="16"/>
  <c r="G30" i="16"/>
  <c r="B31" i="16"/>
  <c r="C31" i="16"/>
  <c r="D31" i="16"/>
  <c r="E31" i="16"/>
  <c r="F31" i="16"/>
  <c r="G31" i="16"/>
  <c r="B32" i="16"/>
  <c r="C32" i="16"/>
  <c r="D32" i="16"/>
  <c r="E32" i="16"/>
  <c r="F32" i="16"/>
  <c r="G32" i="16"/>
  <c r="B33" i="16"/>
  <c r="C33" i="16"/>
  <c r="D33" i="16"/>
  <c r="E33" i="16"/>
  <c r="F33" i="16"/>
  <c r="G33" i="16"/>
  <c r="B34" i="16"/>
  <c r="C34" i="16"/>
  <c r="D34" i="16"/>
  <c r="E34" i="16"/>
  <c r="F34" i="16"/>
  <c r="G34" i="16"/>
  <c r="B35" i="16"/>
  <c r="C35" i="16"/>
  <c r="D35" i="16"/>
  <c r="E35" i="16"/>
  <c r="F35" i="16"/>
  <c r="G35" i="16"/>
  <c r="B36" i="16"/>
  <c r="C36" i="16"/>
  <c r="D36" i="16"/>
  <c r="E36" i="16"/>
  <c r="F36" i="16"/>
  <c r="G36" i="16"/>
  <c r="B37" i="16"/>
  <c r="C37" i="16"/>
  <c r="D37" i="16"/>
  <c r="E37" i="16"/>
  <c r="F37" i="16"/>
  <c r="G37" i="16"/>
  <c r="B38" i="16"/>
  <c r="C38" i="16"/>
  <c r="D38" i="16"/>
  <c r="E38" i="16"/>
  <c r="F38" i="16"/>
  <c r="G38" i="16"/>
  <c r="B39" i="16"/>
  <c r="C39" i="16"/>
  <c r="D39" i="16"/>
  <c r="E39" i="16"/>
  <c r="F39" i="16"/>
  <c r="G39" i="16"/>
  <c r="B40" i="16"/>
  <c r="C40" i="16"/>
  <c r="D40" i="16"/>
  <c r="E40" i="16"/>
  <c r="F40" i="16"/>
  <c r="G40" i="16"/>
  <c r="B41" i="16"/>
  <c r="C41" i="16"/>
  <c r="D41" i="16"/>
  <c r="E41" i="16"/>
  <c r="F41" i="16"/>
  <c r="G41" i="16"/>
  <c r="B42" i="16"/>
  <c r="C42" i="16"/>
  <c r="D42" i="16"/>
  <c r="E42" i="16"/>
  <c r="F42" i="16"/>
  <c r="G42" i="16"/>
  <c r="B43" i="16"/>
  <c r="C43" i="16"/>
  <c r="D43" i="16"/>
  <c r="E43" i="16"/>
  <c r="F43" i="16"/>
  <c r="G43" i="16"/>
  <c r="B44" i="16"/>
  <c r="C44" i="16"/>
  <c r="D44" i="16"/>
  <c r="E44" i="16"/>
  <c r="F44" i="16"/>
  <c r="G44" i="16"/>
  <c r="B45" i="16"/>
  <c r="C45" i="16"/>
  <c r="D45" i="16"/>
  <c r="E45" i="16"/>
  <c r="F45" i="16"/>
  <c r="G45" i="16"/>
  <c r="B46" i="16"/>
  <c r="C46" i="16"/>
  <c r="D46" i="16"/>
  <c r="E46" i="16"/>
  <c r="F46" i="16"/>
  <c r="G46" i="16"/>
  <c r="B47" i="16"/>
  <c r="C47" i="16"/>
  <c r="D47" i="16"/>
  <c r="E47" i="16"/>
  <c r="F47" i="16"/>
  <c r="G47" i="16"/>
  <c r="B48" i="16"/>
  <c r="C48" i="16"/>
  <c r="D48" i="16"/>
  <c r="E48" i="16"/>
  <c r="F48" i="16"/>
  <c r="G48" i="16"/>
  <c r="B49" i="16"/>
  <c r="C49" i="16"/>
  <c r="D49" i="16"/>
  <c r="E49" i="16"/>
  <c r="F49" i="16"/>
  <c r="G49" i="16"/>
  <c r="B50" i="16"/>
  <c r="C50" i="16"/>
  <c r="D50" i="16"/>
  <c r="E50" i="16"/>
  <c r="F50" i="16"/>
  <c r="G50" i="16"/>
  <c r="B51" i="16"/>
  <c r="C51" i="16"/>
  <c r="D51" i="16"/>
  <c r="E51" i="16"/>
  <c r="F51" i="16"/>
  <c r="G51" i="16"/>
  <c r="B52" i="16"/>
  <c r="C52" i="16"/>
  <c r="D52" i="16"/>
  <c r="E52" i="16"/>
  <c r="F52" i="16"/>
  <c r="G52" i="16"/>
  <c r="B53" i="16"/>
  <c r="C53" i="16"/>
  <c r="D53" i="16"/>
  <c r="E53" i="16"/>
  <c r="F53" i="16"/>
  <c r="G53" i="16"/>
  <c r="B54" i="16"/>
  <c r="C54" i="16"/>
  <c r="D54" i="16"/>
  <c r="E54" i="16"/>
  <c r="F54" i="16"/>
  <c r="G54" i="16"/>
  <c r="B55" i="16"/>
  <c r="C55" i="16"/>
  <c r="D55" i="16"/>
  <c r="E55" i="16"/>
  <c r="F55" i="16"/>
  <c r="G55" i="16"/>
  <c r="B56" i="16"/>
  <c r="C56" i="16"/>
  <c r="D56" i="16"/>
  <c r="E56" i="16"/>
  <c r="F56" i="16"/>
  <c r="G56" i="16"/>
  <c r="B57" i="16"/>
  <c r="C57" i="16"/>
  <c r="D57" i="16"/>
  <c r="E57" i="16"/>
  <c r="F57" i="16"/>
  <c r="G57" i="16"/>
  <c r="B58" i="16"/>
  <c r="C58" i="16"/>
  <c r="D58" i="16"/>
  <c r="E58" i="16"/>
  <c r="F58" i="16"/>
  <c r="G58" i="16"/>
  <c r="B59" i="16"/>
  <c r="C59" i="16"/>
  <c r="D59" i="16"/>
  <c r="E59" i="16"/>
  <c r="F59" i="16"/>
  <c r="G59" i="16"/>
  <c r="B60" i="16"/>
  <c r="C60" i="16"/>
  <c r="D60" i="16"/>
  <c r="E60" i="16"/>
  <c r="F60" i="16"/>
  <c r="G60" i="16"/>
  <c r="B61" i="16"/>
  <c r="C61" i="16"/>
  <c r="D61" i="16"/>
  <c r="E61" i="16"/>
  <c r="F61" i="16"/>
  <c r="G61" i="16"/>
  <c r="B62" i="16"/>
  <c r="C62" i="16"/>
  <c r="D62" i="16"/>
  <c r="E62" i="16"/>
  <c r="F62" i="16"/>
  <c r="G62" i="16"/>
  <c r="B63" i="16"/>
  <c r="C63" i="16"/>
  <c r="D63" i="16"/>
  <c r="E63" i="16"/>
  <c r="F63" i="16"/>
  <c r="G63" i="16"/>
  <c r="B64" i="16"/>
  <c r="C64" i="16"/>
  <c r="D64" i="16"/>
  <c r="E64" i="16"/>
  <c r="F64" i="16"/>
  <c r="G64" i="16"/>
  <c r="B65" i="16"/>
  <c r="C65" i="16"/>
  <c r="D65" i="16"/>
  <c r="E65" i="16"/>
  <c r="F65" i="16"/>
  <c r="G65" i="16"/>
  <c r="B66" i="16"/>
  <c r="C66" i="16"/>
  <c r="D66" i="16"/>
  <c r="E66" i="16"/>
  <c r="F66" i="16"/>
  <c r="G66" i="16"/>
  <c r="B67" i="16"/>
  <c r="C67" i="16"/>
  <c r="D67" i="16"/>
  <c r="E67" i="16"/>
  <c r="F67" i="16"/>
  <c r="G67" i="16"/>
  <c r="B68" i="16"/>
  <c r="C68" i="16"/>
  <c r="D68" i="16"/>
  <c r="E68" i="16"/>
  <c r="F68" i="16"/>
  <c r="G68" i="16"/>
  <c r="B69" i="16"/>
  <c r="C69" i="16"/>
  <c r="D69" i="16"/>
  <c r="E69" i="16"/>
  <c r="F69" i="16"/>
  <c r="G69" i="16"/>
  <c r="B70" i="16"/>
  <c r="C70" i="16"/>
  <c r="D70" i="16"/>
  <c r="E70" i="16"/>
  <c r="F70" i="16"/>
  <c r="G70" i="16"/>
  <c r="B71" i="16"/>
  <c r="C71" i="16"/>
  <c r="D71" i="16"/>
  <c r="E71" i="16"/>
  <c r="F71" i="16"/>
  <c r="G71" i="16"/>
  <c r="B72" i="16"/>
  <c r="C72" i="16"/>
  <c r="D72" i="16"/>
  <c r="E72" i="16"/>
  <c r="F72" i="16"/>
  <c r="G72" i="16"/>
  <c r="B73" i="16"/>
  <c r="C73" i="16"/>
  <c r="D73" i="16"/>
  <c r="E73" i="16"/>
  <c r="F73" i="16"/>
  <c r="G73" i="16"/>
  <c r="B74" i="16"/>
  <c r="C74" i="16"/>
  <c r="D74" i="16"/>
  <c r="E74" i="16"/>
  <c r="F74" i="16"/>
  <c r="G74" i="16"/>
  <c r="B75" i="16"/>
  <c r="C75" i="16"/>
  <c r="D75" i="16"/>
  <c r="E75" i="16"/>
  <c r="F75" i="16"/>
  <c r="G75" i="16"/>
  <c r="B76" i="16"/>
  <c r="C76" i="16"/>
  <c r="D76" i="16"/>
  <c r="E76" i="16"/>
  <c r="F76" i="16"/>
  <c r="G76" i="16"/>
  <c r="B77" i="16"/>
  <c r="C77" i="16"/>
  <c r="D77" i="16"/>
  <c r="E77" i="16"/>
  <c r="F77" i="16"/>
  <c r="G77" i="16"/>
  <c r="B78" i="16"/>
  <c r="C78" i="16"/>
  <c r="D78" i="16"/>
  <c r="E78" i="16"/>
  <c r="F78" i="16"/>
  <c r="G78" i="16"/>
  <c r="B79" i="16"/>
  <c r="C79" i="16"/>
  <c r="D79" i="16"/>
  <c r="E79" i="16"/>
  <c r="F79" i="16"/>
  <c r="G79" i="16"/>
  <c r="B80" i="16"/>
  <c r="C80" i="16"/>
  <c r="D80" i="16"/>
  <c r="E80" i="16"/>
  <c r="F80" i="16"/>
  <c r="G80" i="16"/>
  <c r="B81" i="16"/>
  <c r="C81" i="16"/>
  <c r="D81" i="16"/>
  <c r="E81" i="16"/>
  <c r="F81" i="16"/>
  <c r="G81" i="16"/>
  <c r="B82" i="16"/>
  <c r="C82" i="16"/>
  <c r="D82" i="16"/>
  <c r="E82" i="16"/>
  <c r="F82" i="16"/>
  <c r="G82" i="16"/>
  <c r="B83" i="16"/>
  <c r="C83" i="16"/>
  <c r="D83" i="16"/>
  <c r="E83" i="16"/>
  <c r="F83" i="16"/>
  <c r="G83" i="16"/>
  <c r="B84" i="16"/>
  <c r="C84" i="16"/>
  <c r="D84" i="16"/>
  <c r="E84" i="16"/>
  <c r="F84" i="16"/>
  <c r="G84" i="16"/>
  <c r="B85" i="16"/>
  <c r="C85" i="16"/>
  <c r="D85" i="16"/>
  <c r="E85" i="16"/>
  <c r="F85" i="16"/>
  <c r="G85" i="16"/>
  <c r="B86" i="16"/>
  <c r="C86" i="16"/>
  <c r="D86" i="16"/>
  <c r="E86" i="16"/>
  <c r="F86" i="16"/>
  <c r="G86" i="16"/>
  <c r="B87" i="16"/>
  <c r="C87" i="16"/>
  <c r="D87" i="16"/>
  <c r="E87" i="16"/>
  <c r="F87" i="16"/>
  <c r="G87" i="16"/>
  <c r="B88" i="16"/>
  <c r="C88" i="16"/>
  <c r="D88" i="16"/>
  <c r="E88" i="16"/>
  <c r="F88" i="16"/>
  <c r="G88" i="16"/>
  <c r="B89" i="16"/>
  <c r="C89" i="16"/>
  <c r="D89" i="16"/>
  <c r="E89" i="16"/>
  <c r="F89" i="16"/>
  <c r="G89" i="16"/>
  <c r="B90" i="16"/>
  <c r="C90" i="16"/>
  <c r="D90" i="16"/>
  <c r="E90" i="16"/>
  <c r="F90" i="16"/>
  <c r="G90" i="16"/>
  <c r="B91" i="16"/>
  <c r="C91" i="16"/>
  <c r="D91" i="16"/>
  <c r="E91" i="16"/>
  <c r="F91" i="16"/>
  <c r="G91" i="16"/>
  <c r="B92" i="16"/>
  <c r="C92" i="16"/>
  <c r="D92" i="16"/>
  <c r="E92" i="16"/>
  <c r="F92" i="16"/>
  <c r="G92" i="16"/>
  <c r="B93" i="16"/>
  <c r="C93" i="16"/>
  <c r="D93" i="16"/>
  <c r="E93" i="16"/>
  <c r="F93" i="16"/>
  <c r="G93" i="16"/>
  <c r="B94" i="16"/>
  <c r="C94" i="16"/>
  <c r="D94" i="16"/>
  <c r="E94" i="16"/>
  <c r="F94" i="16"/>
  <c r="G94" i="16"/>
  <c r="B95" i="16"/>
  <c r="C95" i="16"/>
  <c r="D95" i="16"/>
  <c r="E95" i="16"/>
  <c r="F95" i="16"/>
  <c r="G95" i="16"/>
  <c r="B96" i="16"/>
  <c r="C96" i="16"/>
  <c r="D96" i="16"/>
  <c r="E96" i="16"/>
  <c r="F96" i="16"/>
  <c r="G96" i="16"/>
  <c r="B97" i="16"/>
  <c r="C97" i="16"/>
  <c r="D97" i="16"/>
  <c r="E97" i="16"/>
  <c r="F97" i="16"/>
  <c r="G97" i="16"/>
  <c r="B98" i="16"/>
  <c r="C98" i="16"/>
  <c r="D98" i="16"/>
  <c r="E98" i="16"/>
  <c r="F98" i="16"/>
  <c r="G98" i="16"/>
  <c r="B99" i="16"/>
  <c r="C99" i="16"/>
  <c r="D99" i="16"/>
  <c r="E99" i="16"/>
  <c r="F99" i="16"/>
  <c r="G99" i="16"/>
  <c r="B100" i="16"/>
  <c r="C100" i="16"/>
  <c r="D100" i="16"/>
  <c r="E100" i="16"/>
  <c r="F100" i="16"/>
  <c r="G100" i="16"/>
  <c r="B101" i="16"/>
  <c r="C101" i="16"/>
  <c r="D101" i="16"/>
  <c r="E101" i="16"/>
  <c r="F101" i="16"/>
  <c r="G101" i="16"/>
  <c r="B102" i="16"/>
  <c r="C102" i="16"/>
  <c r="D102" i="16"/>
  <c r="E102" i="16"/>
  <c r="F102" i="16"/>
  <c r="G102" i="16"/>
  <c r="B103" i="16"/>
  <c r="C103" i="16"/>
  <c r="D103" i="16"/>
  <c r="E103" i="16"/>
  <c r="F103" i="16"/>
  <c r="G103" i="16"/>
  <c r="B104" i="16"/>
  <c r="C104" i="16"/>
  <c r="D104" i="16"/>
  <c r="E104" i="16"/>
  <c r="F104" i="16"/>
  <c r="G104" i="16"/>
  <c r="B105" i="16"/>
  <c r="C105" i="16"/>
  <c r="D105" i="16"/>
  <c r="E105" i="16"/>
  <c r="F105" i="16"/>
  <c r="G105" i="16"/>
  <c r="B106" i="16"/>
  <c r="C106" i="16"/>
  <c r="D106" i="16"/>
  <c r="E106" i="16"/>
  <c r="F106" i="16"/>
  <c r="G106" i="16"/>
  <c r="B107" i="16"/>
  <c r="C107" i="16"/>
  <c r="D107" i="16"/>
  <c r="E107" i="16"/>
  <c r="F107" i="16"/>
  <c r="G107" i="16"/>
  <c r="B108" i="16"/>
  <c r="C108" i="16"/>
  <c r="D108" i="16"/>
  <c r="E108" i="16"/>
  <c r="F108" i="16"/>
  <c r="G108" i="16"/>
  <c r="B109" i="16"/>
  <c r="C109" i="16"/>
  <c r="D109" i="16"/>
  <c r="E109" i="16"/>
  <c r="F109" i="16"/>
  <c r="G109" i="16"/>
  <c r="B110" i="16"/>
  <c r="C110" i="16"/>
  <c r="D110" i="16"/>
  <c r="E110" i="16"/>
  <c r="F110" i="16"/>
  <c r="G110" i="16"/>
  <c r="B111" i="16"/>
  <c r="C111" i="16"/>
  <c r="D111" i="16"/>
  <c r="E111" i="16"/>
  <c r="F111" i="16"/>
  <c r="G111" i="16"/>
  <c r="B112" i="16"/>
  <c r="C112" i="16"/>
  <c r="D112" i="16"/>
  <c r="E112" i="16"/>
  <c r="F112" i="16"/>
  <c r="G112" i="16"/>
  <c r="B113" i="16"/>
  <c r="C113" i="16"/>
  <c r="D113" i="16"/>
  <c r="E113" i="16"/>
  <c r="F113" i="16"/>
  <c r="G113" i="16"/>
  <c r="B114" i="16"/>
  <c r="C114" i="16"/>
  <c r="D114" i="16"/>
  <c r="E114" i="16"/>
  <c r="F114" i="16"/>
  <c r="G114" i="16"/>
  <c r="B115" i="16"/>
  <c r="C115" i="16"/>
  <c r="D115" i="16"/>
  <c r="E115" i="16"/>
  <c r="F115" i="16"/>
  <c r="G115" i="16"/>
  <c r="B116" i="16"/>
  <c r="C116" i="16"/>
  <c r="D116" i="16"/>
  <c r="E116" i="16"/>
  <c r="F116" i="16"/>
  <c r="G116" i="16"/>
  <c r="B117" i="16"/>
  <c r="C117" i="16"/>
  <c r="D117" i="16"/>
  <c r="E117" i="16"/>
  <c r="F117" i="16"/>
  <c r="G117" i="16"/>
  <c r="B118" i="16"/>
  <c r="C118" i="16"/>
  <c r="D118" i="16"/>
  <c r="E118" i="16"/>
  <c r="F118" i="16"/>
  <c r="G118" i="16"/>
  <c r="B119" i="16"/>
  <c r="C119" i="16"/>
  <c r="D119" i="16"/>
  <c r="E119" i="16"/>
  <c r="F119" i="16"/>
  <c r="G119" i="16"/>
  <c r="B120" i="16"/>
  <c r="C120" i="16"/>
  <c r="D120" i="16"/>
  <c r="E120" i="16"/>
  <c r="F120" i="16"/>
  <c r="G120" i="16"/>
  <c r="B121" i="16"/>
  <c r="C121" i="16"/>
  <c r="D121" i="16"/>
  <c r="E121" i="16"/>
  <c r="F121" i="16"/>
  <c r="G121" i="16"/>
  <c r="B122" i="16"/>
  <c r="C122" i="16"/>
  <c r="D122" i="16"/>
  <c r="E122" i="16"/>
  <c r="F122" i="16"/>
  <c r="G122" i="16"/>
  <c r="B123" i="16"/>
  <c r="C123" i="16"/>
  <c r="D123" i="16"/>
  <c r="E123" i="16"/>
  <c r="F123" i="16"/>
  <c r="G123" i="16"/>
  <c r="B124" i="16"/>
  <c r="C124" i="16"/>
  <c r="D124" i="16"/>
  <c r="E124" i="16"/>
  <c r="F124" i="16"/>
  <c r="G124" i="16"/>
  <c r="B125" i="16"/>
  <c r="C125" i="16"/>
  <c r="D125" i="16"/>
  <c r="E125" i="16"/>
  <c r="F125" i="16"/>
  <c r="G125" i="16"/>
  <c r="B126" i="16"/>
  <c r="C126" i="16"/>
  <c r="D126" i="16"/>
  <c r="E126" i="16"/>
  <c r="F126" i="16"/>
  <c r="G126" i="16"/>
  <c r="B127" i="16"/>
  <c r="C127" i="16"/>
  <c r="D127" i="16"/>
  <c r="E127" i="16"/>
  <c r="F127" i="16"/>
  <c r="G127" i="16"/>
  <c r="B128" i="16"/>
  <c r="C128" i="16"/>
  <c r="D128" i="16"/>
  <c r="E128" i="16"/>
  <c r="F128" i="16"/>
  <c r="G128" i="16"/>
  <c r="B129" i="16"/>
  <c r="C129" i="16"/>
  <c r="D129" i="16"/>
  <c r="E129" i="16"/>
  <c r="F129" i="16"/>
  <c r="G129" i="16"/>
  <c r="B130" i="16"/>
  <c r="C130" i="16"/>
  <c r="D130" i="16"/>
  <c r="E130" i="16"/>
  <c r="F130" i="16"/>
  <c r="G130" i="16"/>
  <c r="B131" i="16"/>
  <c r="C131" i="16"/>
  <c r="D131" i="16"/>
  <c r="E131" i="16"/>
  <c r="F131" i="16"/>
  <c r="G131" i="16"/>
  <c r="B132" i="16"/>
  <c r="C132" i="16"/>
  <c r="D132" i="16"/>
  <c r="E132" i="16"/>
  <c r="F132" i="16"/>
  <c r="G132" i="16"/>
  <c r="B133" i="16"/>
  <c r="C133" i="16"/>
  <c r="D133" i="16"/>
  <c r="E133" i="16"/>
  <c r="F133" i="16"/>
  <c r="G133" i="16"/>
  <c r="B134" i="16"/>
  <c r="C134" i="16"/>
  <c r="D134" i="16"/>
  <c r="E134" i="16"/>
  <c r="F134" i="16"/>
  <c r="G134" i="16"/>
  <c r="B135" i="16"/>
  <c r="C135" i="16"/>
  <c r="D135" i="16"/>
  <c r="E135" i="16"/>
  <c r="F135" i="16"/>
  <c r="G135" i="16"/>
  <c r="B136" i="16"/>
  <c r="C136" i="16"/>
  <c r="D136" i="16"/>
  <c r="E136" i="16"/>
  <c r="F136" i="16"/>
  <c r="G136" i="16"/>
  <c r="B137" i="16"/>
  <c r="C137" i="16"/>
  <c r="D137" i="16"/>
  <c r="E137" i="16"/>
  <c r="F137" i="16"/>
  <c r="G137" i="16"/>
  <c r="B138" i="16"/>
  <c r="C138" i="16"/>
  <c r="D138" i="16"/>
  <c r="E138" i="16"/>
  <c r="F138" i="16"/>
  <c r="G138" i="16"/>
  <c r="B139" i="16"/>
  <c r="C139" i="16"/>
  <c r="D139" i="16"/>
  <c r="E139" i="16"/>
  <c r="F139" i="16"/>
  <c r="G139" i="16"/>
  <c r="B140" i="16"/>
  <c r="C140" i="16"/>
  <c r="D140" i="16"/>
  <c r="E140" i="16"/>
  <c r="F140" i="16"/>
  <c r="G140" i="16"/>
  <c r="B141" i="16"/>
  <c r="C141" i="16"/>
  <c r="D141" i="16"/>
  <c r="E141" i="16"/>
  <c r="F141" i="16"/>
  <c r="G141" i="16"/>
  <c r="B142" i="16"/>
  <c r="C142" i="16"/>
  <c r="D142" i="16"/>
  <c r="E142" i="16"/>
  <c r="F142" i="16"/>
  <c r="G142" i="16"/>
  <c r="B143" i="16"/>
  <c r="C143" i="16"/>
  <c r="D143" i="16"/>
  <c r="E143" i="16"/>
  <c r="F143" i="16"/>
  <c r="G143" i="16"/>
  <c r="B144" i="16"/>
  <c r="C144" i="16"/>
  <c r="D144" i="16"/>
  <c r="E144" i="16"/>
  <c r="F144" i="16"/>
  <c r="G144" i="16"/>
  <c r="B145" i="16"/>
  <c r="C145" i="16"/>
  <c r="D145" i="16"/>
  <c r="E145" i="16"/>
  <c r="F145" i="16"/>
  <c r="G145" i="16"/>
  <c r="B146" i="16"/>
  <c r="C146" i="16"/>
  <c r="D146" i="16"/>
  <c r="E146" i="16"/>
  <c r="F146" i="16"/>
  <c r="G146" i="16"/>
  <c r="B147" i="16"/>
  <c r="C147" i="16"/>
  <c r="D147" i="16"/>
  <c r="E147" i="16"/>
  <c r="F147" i="16"/>
  <c r="G147" i="16"/>
  <c r="B148" i="16"/>
  <c r="C148" i="16"/>
  <c r="D148" i="16"/>
  <c r="E148" i="16"/>
  <c r="F148" i="16"/>
  <c r="G148" i="16"/>
  <c r="B149" i="16"/>
  <c r="C149" i="16"/>
  <c r="D149" i="16"/>
  <c r="E149" i="16"/>
  <c r="F149" i="16"/>
  <c r="G149" i="16"/>
  <c r="B150" i="16"/>
  <c r="C150" i="16"/>
  <c r="D150" i="16"/>
  <c r="E150" i="16"/>
  <c r="F150" i="16"/>
  <c r="G150" i="16"/>
  <c r="B151" i="16"/>
  <c r="C151" i="16"/>
  <c r="D151" i="16"/>
  <c r="E151" i="16"/>
  <c r="F151" i="16"/>
  <c r="G151" i="16"/>
  <c r="B152" i="16"/>
  <c r="C152" i="16"/>
  <c r="D152" i="16"/>
  <c r="E152" i="16"/>
  <c r="F152" i="16"/>
  <c r="G152" i="16"/>
  <c r="B153" i="16"/>
  <c r="C153" i="16"/>
  <c r="D153" i="16"/>
  <c r="E153" i="16"/>
  <c r="F153" i="16"/>
  <c r="G153" i="16"/>
  <c r="B154" i="16"/>
  <c r="C154" i="16"/>
  <c r="D154" i="16"/>
  <c r="E154" i="16"/>
  <c r="F154" i="16"/>
  <c r="G154" i="16"/>
  <c r="B155" i="16"/>
  <c r="C155" i="16"/>
  <c r="D155" i="16"/>
  <c r="E155" i="16"/>
  <c r="F155" i="16"/>
  <c r="G155" i="16"/>
  <c r="B156" i="16"/>
  <c r="C156" i="16"/>
  <c r="D156" i="16"/>
  <c r="E156" i="16"/>
  <c r="F156" i="16"/>
  <c r="G156" i="16"/>
  <c r="B157" i="16"/>
  <c r="C157" i="16"/>
  <c r="D157" i="16"/>
  <c r="E157" i="16"/>
  <c r="F157" i="16"/>
  <c r="G157" i="16"/>
  <c r="B158" i="16"/>
  <c r="C158" i="16"/>
  <c r="D158" i="16"/>
  <c r="E158" i="16"/>
  <c r="F158" i="16"/>
  <c r="G158" i="16"/>
  <c r="B159" i="16"/>
  <c r="C159" i="16"/>
  <c r="D159" i="16"/>
  <c r="E159" i="16"/>
  <c r="F159" i="16"/>
  <c r="G159" i="16"/>
  <c r="B160" i="16"/>
  <c r="C160" i="16"/>
  <c r="D160" i="16"/>
  <c r="E160" i="16"/>
  <c r="F160" i="16"/>
  <c r="G160" i="16"/>
  <c r="B161" i="16"/>
  <c r="C161" i="16"/>
  <c r="D161" i="16"/>
  <c r="E161" i="16"/>
  <c r="F161" i="16"/>
  <c r="G161" i="16"/>
  <c r="B162" i="16"/>
  <c r="C162" i="16"/>
  <c r="D162" i="16"/>
  <c r="E162" i="16"/>
  <c r="F162" i="16"/>
  <c r="G162" i="16"/>
  <c r="B163" i="16"/>
  <c r="C163" i="16"/>
  <c r="D163" i="16"/>
  <c r="E163" i="16"/>
  <c r="F163" i="16"/>
  <c r="G163" i="16"/>
  <c r="B164" i="16"/>
  <c r="C164" i="16"/>
  <c r="D164" i="16"/>
  <c r="E164" i="16"/>
  <c r="F164" i="16"/>
  <c r="G164" i="16"/>
  <c r="B165" i="16"/>
  <c r="C165" i="16"/>
  <c r="D165" i="16"/>
  <c r="E165" i="16"/>
  <c r="F165" i="16"/>
  <c r="G165" i="16"/>
  <c r="B166" i="16"/>
  <c r="C166" i="16"/>
  <c r="D166" i="16"/>
  <c r="E166" i="16"/>
  <c r="F166" i="16"/>
  <c r="G166" i="16"/>
  <c r="B167" i="16"/>
  <c r="C167" i="16"/>
  <c r="D167" i="16"/>
  <c r="E167" i="16"/>
  <c r="F167" i="16"/>
  <c r="G167" i="16"/>
  <c r="B168" i="16"/>
  <c r="C168" i="16"/>
  <c r="D168" i="16"/>
  <c r="E168" i="16"/>
  <c r="F168" i="16"/>
  <c r="G168" i="16"/>
  <c r="B169" i="16"/>
  <c r="C169" i="16"/>
  <c r="D169" i="16"/>
  <c r="E169" i="16"/>
  <c r="F169" i="16"/>
  <c r="G169" i="16"/>
  <c r="B170" i="16"/>
  <c r="C170" i="16"/>
  <c r="D170" i="16"/>
  <c r="E170" i="16"/>
  <c r="F170" i="16"/>
  <c r="G170" i="16"/>
  <c r="B171" i="16"/>
  <c r="C171" i="16"/>
  <c r="D171" i="16"/>
  <c r="E171" i="16"/>
  <c r="F171" i="16"/>
  <c r="G171" i="16"/>
  <c r="B172" i="16"/>
  <c r="C172" i="16"/>
  <c r="D172" i="16"/>
  <c r="E172" i="16"/>
  <c r="F172" i="16"/>
  <c r="G172" i="16"/>
  <c r="B173" i="16"/>
  <c r="C173" i="16"/>
  <c r="D173" i="16"/>
  <c r="E173" i="16"/>
  <c r="F173" i="16"/>
  <c r="G173" i="16"/>
  <c r="B174" i="16"/>
  <c r="C174" i="16"/>
  <c r="D174" i="16"/>
  <c r="E174" i="16"/>
  <c r="F174" i="16"/>
  <c r="G174" i="16"/>
  <c r="B175" i="16"/>
  <c r="C175" i="16"/>
  <c r="D175" i="16"/>
  <c r="E175" i="16"/>
  <c r="F175" i="16"/>
  <c r="G175" i="16"/>
  <c r="B176" i="16"/>
  <c r="C176" i="16"/>
  <c r="D176" i="16"/>
  <c r="E176" i="16"/>
  <c r="F176" i="16"/>
  <c r="G176" i="16"/>
  <c r="B177" i="16"/>
  <c r="C177" i="16"/>
  <c r="D177" i="16"/>
  <c r="E177" i="16"/>
  <c r="F177" i="16"/>
  <c r="G177" i="16"/>
  <c r="B178" i="16"/>
  <c r="C178" i="16"/>
  <c r="D178" i="16"/>
  <c r="E178" i="16"/>
  <c r="F178" i="16"/>
  <c r="G178" i="16"/>
  <c r="B179" i="16"/>
  <c r="C179" i="16"/>
  <c r="D179" i="16"/>
  <c r="E179" i="16"/>
  <c r="F179" i="16"/>
  <c r="G179" i="16"/>
  <c r="B180" i="16"/>
  <c r="C180" i="16"/>
  <c r="D180" i="16"/>
  <c r="E180" i="16"/>
  <c r="F180" i="16"/>
  <c r="G180" i="16"/>
  <c r="B181" i="16"/>
  <c r="C181" i="16"/>
  <c r="D181" i="16"/>
  <c r="E181" i="16"/>
  <c r="F181" i="16"/>
  <c r="G181" i="16"/>
  <c r="B182" i="16"/>
  <c r="C182" i="16"/>
  <c r="D182" i="16"/>
  <c r="E182" i="16"/>
  <c r="F182" i="16"/>
  <c r="G182" i="16"/>
  <c r="B183" i="16"/>
  <c r="C183" i="16"/>
  <c r="D183" i="16"/>
  <c r="E183" i="16"/>
  <c r="F183" i="16"/>
  <c r="G183" i="16"/>
  <c r="B184" i="16"/>
  <c r="C184" i="16"/>
  <c r="D184" i="16"/>
  <c r="E184" i="16"/>
  <c r="F184" i="16"/>
  <c r="G184" i="16"/>
  <c r="B185" i="16"/>
  <c r="C185" i="16"/>
  <c r="D185" i="16"/>
  <c r="E185" i="16"/>
  <c r="F185" i="16"/>
  <c r="G185" i="16"/>
  <c r="B186" i="16"/>
  <c r="C186" i="16"/>
  <c r="D186" i="16"/>
  <c r="E186" i="16"/>
  <c r="F186" i="16"/>
  <c r="G186" i="16"/>
  <c r="B187" i="16"/>
  <c r="C187" i="16"/>
  <c r="D187" i="16"/>
  <c r="E187" i="16"/>
  <c r="F187" i="16"/>
  <c r="G187" i="16"/>
  <c r="B188" i="16"/>
  <c r="C188" i="16"/>
  <c r="D188" i="16"/>
  <c r="E188" i="16"/>
  <c r="F188" i="16"/>
  <c r="G188" i="16"/>
  <c r="B189" i="16"/>
  <c r="C189" i="16"/>
  <c r="D189" i="16"/>
  <c r="E189" i="16"/>
  <c r="F189" i="16"/>
  <c r="G189" i="16"/>
  <c r="B190" i="16"/>
  <c r="C190" i="16"/>
  <c r="D190" i="16"/>
  <c r="E190" i="16"/>
  <c r="F190" i="16"/>
  <c r="G190" i="16"/>
  <c r="B191" i="16"/>
  <c r="C191" i="16"/>
  <c r="D191" i="16"/>
  <c r="E191" i="16"/>
  <c r="F191" i="16"/>
  <c r="G191" i="16"/>
  <c r="B192" i="16"/>
  <c r="C192" i="16"/>
  <c r="D192" i="16"/>
  <c r="E192" i="16"/>
  <c r="F192" i="16"/>
  <c r="G192" i="16"/>
  <c r="B193" i="16"/>
  <c r="C193" i="16"/>
  <c r="D193" i="16"/>
  <c r="E193" i="16"/>
  <c r="F193" i="16"/>
  <c r="G193" i="16"/>
  <c r="B194" i="16"/>
  <c r="C194" i="16"/>
  <c r="D194" i="16"/>
  <c r="E194" i="16"/>
  <c r="F194" i="16"/>
  <c r="G194" i="16"/>
  <c r="B195" i="16"/>
  <c r="C195" i="16"/>
  <c r="D195" i="16"/>
  <c r="E195" i="16"/>
  <c r="F195" i="16"/>
  <c r="G195" i="16"/>
  <c r="B196" i="16"/>
  <c r="C196" i="16"/>
  <c r="D196" i="16"/>
  <c r="E196" i="16"/>
  <c r="F196" i="16"/>
  <c r="G196" i="16"/>
  <c r="B197" i="16"/>
  <c r="C197" i="16"/>
  <c r="D197" i="16"/>
  <c r="E197" i="16"/>
  <c r="F197" i="16"/>
  <c r="G197" i="16"/>
  <c r="B198" i="16"/>
  <c r="C198" i="16"/>
  <c r="D198" i="16"/>
  <c r="E198" i="16"/>
  <c r="F198" i="16"/>
  <c r="G198" i="16"/>
  <c r="B199" i="16"/>
  <c r="C199" i="16"/>
  <c r="D199" i="16"/>
  <c r="E199" i="16"/>
  <c r="F199" i="16"/>
  <c r="G199" i="16"/>
  <c r="B200" i="16"/>
  <c r="C200" i="16"/>
  <c r="D200" i="16"/>
  <c r="E200" i="16"/>
  <c r="F200" i="16"/>
  <c r="G200" i="16"/>
  <c r="B201" i="16"/>
  <c r="C201" i="16"/>
  <c r="D201" i="16"/>
  <c r="E201" i="16"/>
  <c r="F201" i="16"/>
  <c r="G201" i="16"/>
  <c r="B202" i="16"/>
  <c r="C202" i="16"/>
  <c r="D202" i="16"/>
  <c r="E202" i="16"/>
  <c r="F202" i="16"/>
  <c r="G202" i="16"/>
  <c r="B203" i="16"/>
  <c r="C203" i="16"/>
  <c r="D203" i="16"/>
  <c r="E203" i="16"/>
  <c r="F203" i="16"/>
  <c r="G203" i="16"/>
  <c r="B204" i="16"/>
  <c r="C204" i="16"/>
  <c r="D204" i="16"/>
  <c r="E204" i="16"/>
  <c r="F204" i="16"/>
  <c r="G204" i="16"/>
  <c r="B205" i="16"/>
  <c r="C205" i="16"/>
  <c r="D205" i="16"/>
  <c r="E205" i="16"/>
  <c r="F205" i="16"/>
  <c r="G205" i="16"/>
  <c r="B206" i="16"/>
  <c r="C206" i="16"/>
  <c r="D206" i="16"/>
  <c r="E206" i="16"/>
  <c r="F206" i="16"/>
  <c r="G206" i="16"/>
  <c r="B207" i="16"/>
  <c r="C207" i="16"/>
  <c r="D207" i="16"/>
  <c r="E207" i="16"/>
  <c r="F207" i="16"/>
  <c r="G207" i="16"/>
  <c r="B208" i="16"/>
  <c r="C208" i="16"/>
  <c r="D208" i="16"/>
  <c r="E208" i="16"/>
  <c r="F208" i="16"/>
  <c r="G208" i="16"/>
  <c r="B209" i="16"/>
  <c r="C209" i="16"/>
  <c r="D209" i="16"/>
  <c r="E209" i="16"/>
  <c r="F209" i="16"/>
  <c r="G209" i="16"/>
  <c r="B210" i="16"/>
  <c r="C210" i="16"/>
  <c r="D210" i="16"/>
  <c r="E210" i="16"/>
  <c r="F210" i="16"/>
  <c r="G210" i="16"/>
  <c r="B211" i="16"/>
  <c r="C211" i="16"/>
  <c r="D211" i="16"/>
  <c r="E211" i="16"/>
  <c r="F211" i="16"/>
  <c r="G211" i="16"/>
  <c r="B212" i="16"/>
  <c r="C212" i="16"/>
  <c r="D212" i="16"/>
  <c r="E212" i="16"/>
  <c r="F212" i="16"/>
  <c r="G212" i="16"/>
  <c r="B213" i="16"/>
  <c r="C213" i="16"/>
  <c r="D213" i="16"/>
  <c r="E213" i="16"/>
  <c r="F213" i="16"/>
  <c r="G213" i="16"/>
  <c r="B214" i="16"/>
  <c r="C214" i="16"/>
  <c r="D214" i="16"/>
  <c r="E214" i="16"/>
  <c r="F214" i="16"/>
  <c r="G214" i="16"/>
  <c r="B215" i="16"/>
  <c r="C215" i="16"/>
  <c r="D215" i="16"/>
  <c r="E215" i="16"/>
  <c r="F215" i="16"/>
  <c r="G215" i="16"/>
  <c r="B216" i="16"/>
  <c r="C216" i="16"/>
  <c r="D216" i="16"/>
  <c r="E216" i="16"/>
  <c r="F216" i="16"/>
  <c r="G216" i="16"/>
  <c r="B217" i="16"/>
  <c r="C217" i="16"/>
  <c r="D217" i="16"/>
  <c r="E217" i="16"/>
  <c r="F217" i="16"/>
  <c r="G217" i="16"/>
  <c r="B218" i="16"/>
  <c r="C218" i="16"/>
  <c r="D218" i="16"/>
  <c r="E218" i="16"/>
  <c r="F218" i="16"/>
  <c r="G218" i="16"/>
  <c r="B219" i="16"/>
  <c r="C219" i="16"/>
  <c r="D219" i="16"/>
  <c r="E219" i="16"/>
  <c r="F219" i="16"/>
  <c r="G219" i="16"/>
  <c r="B220" i="16"/>
  <c r="C220" i="16"/>
  <c r="D220" i="16"/>
  <c r="E220" i="16"/>
  <c r="F220" i="16"/>
  <c r="G220" i="16"/>
  <c r="B221" i="16"/>
  <c r="C221" i="16"/>
  <c r="D221" i="16"/>
  <c r="E221" i="16"/>
  <c r="F221" i="16"/>
  <c r="G221" i="16"/>
  <c r="B222" i="16"/>
  <c r="C222" i="16"/>
  <c r="D222" i="16"/>
  <c r="E222" i="16"/>
  <c r="F222" i="16"/>
  <c r="G222" i="16"/>
  <c r="B223" i="16"/>
  <c r="C223" i="16"/>
  <c r="D223" i="16"/>
  <c r="E223" i="16"/>
  <c r="F223" i="16"/>
  <c r="G223" i="16"/>
  <c r="B224" i="16"/>
  <c r="C224" i="16"/>
  <c r="D224" i="16"/>
  <c r="E224" i="16"/>
  <c r="F224" i="16"/>
  <c r="G224" i="16"/>
  <c r="B225" i="16"/>
  <c r="C225" i="16"/>
  <c r="D225" i="16"/>
  <c r="E225" i="16"/>
  <c r="F225" i="16"/>
  <c r="G225" i="16"/>
  <c r="B226" i="16"/>
  <c r="C226" i="16"/>
  <c r="D226" i="16"/>
  <c r="E226" i="16"/>
  <c r="F226" i="16"/>
  <c r="G226" i="16"/>
  <c r="B227" i="16"/>
  <c r="C227" i="16"/>
  <c r="D227" i="16"/>
  <c r="E227" i="16"/>
  <c r="F227" i="16"/>
  <c r="G227" i="16"/>
  <c r="B228" i="16"/>
  <c r="C228" i="16"/>
  <c r="D228" i="16"/>
  <c r="E228" i="16"/>
  <c r="F228" i="16"/>
  <c r="G228" i="16"/>
  <c r="B229" i="16"/>
  <c r="C229" i="16"/>
  <c r="D229" i="16"/>
  <c r="E229" i="16"/>
  <c r="F229" i="16"/>
  <c r="G229" i="16"/>
  <c r="B230" i="16"/>
  <c r="C230" i="16"/>
  <c r="D230" i="16"/>
  <c r="E230" i="16"/>
  <c r="F230" i="16"/>
  <c r="G230" i="16"/>
  <c r="B231" i="16"/>
  <c r="C231" i="16"/>
  <c r="D231" i="16"/>
  <c r="E231" i="16"/>
  <c r="F231" i="16"/>
  <c r="G231" i="16"/>
  <c r="B232" i="16"/>
  <c r="C232" i="16"/>
  <c r="D232" i="16"/>
  <c r="E232" i="16"/>
  <c r="F232" i="16"/>
  <c r="G232" i="16"/>
  <c r="B233" i="16"/>
  <c r="C233" i="16"/>
  <c r="D233" i="16"/>
  <c r="E233" i="16"/>
  <c r="F233" i="16"/>
  <c r="G233" i="16"/>
  <c r="B234" i="16"/>
  <c r="C234" i="16"/>
  <c r="D234" i="16"/>
  <c r="E234" i="16"/>
  <c r="F234" i="16"/>
  <c r="G234" i="16"/>
  <c r="B235" i="16"/>
  <c r="C235" i="16"/>
  <c r="D235" i="16"/>
  <c r="E235" i="16"/>
  <c r="F235" i="16"/>
  <c r="G235" i="16"/>
  <c r="B236" i="16"/>
  <c r="C236" i="16"/>
  <c r="D236" i="16"/>
  <c r="E236" i="16"/>
  <c r="F236" i="16"/>
  <c r="G236" i="16"/>
  <c r="B237" i="16"/>
  <c r="C237" i="16"/>
  <c r="D237" i="16"/>
  <c r="E237" i="16"/>
  <c r="F237" i="16"/>
  <c r="G237" i="16"/>
  <c r="B238" i="16"/>
  <c r="C238" i="16"/>
  <c r="D238" i="16"/>
  <c r="E238" i="16"/>
  <c r="F238" i="16"/>
  <c r="G238" i="16"/>
  <c r="B239" i="16"/>
  <c r="C239" i="16"/>
  <c r="D239" i="16"/>
  <c r="E239" i="16"/>
  <c r="F239" i="16"/>
  <c r="G239" i="16"/>
  <c r="B240" i="16"/>
  <c r="C240" i="16"/>
  <c r="D240" i="16"/>
  <c r="E240" i="16"/>
  <c r="F240" i="16"/>
  <c r="G240" i="16"/>
  <c r="B241" i="16"/>
  <c r="C241" i="16"/>
  <c r="D241" i="16"/>
  <c r="E241" i="16"/>
  <c r="F241" i="16"/>
  <c r="G241" i="16"/>
  <c r="B242" i="16"/>
  <c r="C242" i="16"/>
  <c r="D242" i="16"/>
  <c r="E242" i="16"/>
  <c r="F242" i="16"/>
  <c r="G242" i="16"/>
  <c r="B243" i="16"/>
  <c r="C243" i="16"/>
  <c r="D243" i="16"/>
  <c r="E243" i="16"/>
  <c r="F243" i="16"/>
  <c r="G243" i="16"/>
  <c r="B244" i="16"/>
  <c r="C244" i="16"/>
  <c r="D244" i="16"/>
  <c r="E244" i="16"/>
  <c r="F244" i="16"/>
  <c r="G244" i="16"/>
  <c r="B245" i="16"/>
  <c r="C245" i="16"/>
  <c r="D245" i="16"/>
  <c r="E245" i="16"/>
  <c r="F245" i="16"/>
  <c r="G245" i="16"/>
  <c r="B246" i="16"/>
  <c r="C246" i="16"/>
  <c r="D246" i="16"/>
  <c r="E246" i="16"/>
  <c r="F246" i="16"/>
  <c r="G246" i="16"/>
  <c r="B247" i="16"/>
  <c r="C247" i="16"/>
  <c r="D247" i="16"/>
  <c r="E247" i="16"/>
  <c r="F247" i="16"/>
  <c r="G247" i="16"/>
  <c r="B248" i="16"/>
  <c r="C248" i="16"/>
  <c r="D248" i="16"/>
  <c r="E248" i="16"/>
  <c r="F248" i="16"/>
  <c r="G248" i="16"/>
  <c r="B249" i="16"/>
  <c r="C249" i="16"/>
  <c r="D249" i="16"/>
  <c r="E249" i="16"/>
  <c r="F249" i="16"/>
  <c r="G249" i="16"/>
  <c r="B250" i="16"/>
  <c r="C250" i="16"/>
  <c r="D250" i="16"/>
  <c r="E250" i="16"/>
  <c r="F250" i="16"/>
  <c r="G250" i="16"/>
  <c r="B251" i="16"/>
  <c r="C251" i="16"/>
  <c r="D251" i="16"/>
  <c r="E251" i="16"/>
  <c r="F251" i="16"/>
  <c r="G251" i="16"/>
  <c r="B252" i="16"/>
  <c r="C252" i="16"/>
  <c r="D252" i="16"/>
  <c r="E252" i="16"/>
  <c r="F252" i="16"/>
  <c r="G252" i="16"/>
  <c r="B253" i="16"/>
  <c r="C253" i="16"/>
  <c r="D253" i="16"/>
  <c r="E253" i="16"/>
  <c r="F253" i="16"/>
  <c r="G253" i="16"/>
  <c r="B25" i="22"/>
  <c r="C25" i="22"/>
  <c r="D25" i="22"/>
  <c r="E25" i="22"/>
  <c r="E29" i="22"/>
  <c r="B26" i="22"/>
  <c r="C26" i="22"/>
  <c r="D26" i="22"/>
  <c r="E26" i="22"/>
  <c r="B29" i="22"/>
  <c r="C29" i="22"/>
  <c r="D29" i="22"/>
  <c r="J22" i="23"/>
  <c r="J23" i="23"/>
  <c r="J24" i="23"/>
  <c r="L76" i="23"/>
  <c r="L77" i="23"/>
  <c r="L79" i="23"/>
  <c r="J103" i="23"/>
  <c r="J104" i="23"/>
  <c r="J105" i="23"/>
  <c r="J106" i="23"/>
  <c r="J107" i="23"/>
  <c r="J108" i="23"/>
  <c r="J109" i="23"/>
  <c r="L33" i="26"/>
  <c r="O33" i="26"/>
  <c r="O34" i="26"/>
  <c r="R33" i="26"/>
  <c r="L34" i="26"/>
  <c r="L35" i="26"/>
  <c r="O35" i="26"/>
  <c r="D67" i="26"/>
  <c r="G67" i="26"/>
  <c r="J67" i="26"/>
  <c r="M67" i="26"/>
  <c r="P67" i="26"/>
  <c r="S67" i="26"/>
  <c r="D68" i="26"/>
  <c r="G68" i="26"/>
  <c r="J68" i="26"/>
  <c r="M68" i="26"/>
  <c r="P68" i="26"/>
  <c r="S68" i="26"/>
  <c r="D69" i="26"/>
  <c r="G69" i="26"/>
  <c r="J69" i="26"/>
  <c r="M69" i="26"/>
  <c r="P69" i="26"/>
  <c r="S69" i="26"/>
  <c r="D70" i="26"/>
  <c r="G70" i="26"/>
  <c r="J70" i="26"/>
  <c r="M70" i="26"/>
  <c r="P70" i="26"/>
  <c r="S70" i="26"/>
  <c r="D71" i="26"/>
  <c r="G71" i="26"/>
  <c r="J71" i="26"/>
  <c r="M71" i="26"/>
  <c r="P71" i="26"/>
  <c r="S71" i="26"/>
  <c r="D72" i="26"/>
  <c r="G72" i="26"/>
  <c r="J72" i="26"/>
  <c r="M72" i="26"/>
  <c r="P72" i="26"/>
  <c r="S72" i="26"/>
  <c r="D73" i="26"/>
  <c r="G73" i="26"/>
  <c r="J73" i="26"/>
  <c r="M73" i="26"/>
  <c r="P73" i="26"/>
  <c r="S73" i="26"/>
  <c r="D74" i="26"/>
  <c r="G74" i="26"/>
  <c r="J74" i="26"/>
  <c r="M74" i="26"/>
  <c r="P74" i="26"/>
  <c r="S74" i="26"/>
  <c r="D75" i="26"/>
  <c r="G75" i="26"/>
  <c r="J75" i="26"/>
  <c r="M75" i="26"/>
  <c r="P75" i="26"/>
  <c r="S75" i="26"/>
  <c r="D76" i="26"/>
  <c r="G76" i="26"/>
  <c r="J76" i="26"/>
  <c r="M76" i="26"/>
  <c r="P76" i="26"/>
  <c r="S76" i="26"/>
  <c r="D77" i="26"/>
  <c r="G77" i="26"/>
  <c r="J77" i="26"/>
  <c r="M77" i="26"/>
  <c r="P77" i="26"/>
  <c r="S77" i="26"/>
  <c r="D79" i="26"/>
  <c r="G79" i="26"/>
  <c r="J79" i="26"/>
  <c r="M79" i="26"/>
  <c r="P79" i="26"/>
  <c r="S79" i="26"/>
  <c r="D80" i="26"/>
  <c r="G80" i="26"/>
  <c r="J80" i="26"/>
  <c r="M80" i="26"/>
  <c r="P80" i="26"/>
  <c r="S80" i="26"/>
  <c r="D81" i="26"/>
  <c r="G81" i="26"/>
  <c r="J81" i="26"/>
  <c r="M81" i="26"/>
  <c r="P81" i="26"/>
  <c r="S81" i="26"/>
  <c r="Z6" i="35"/>
  <c r="AA6" i="35"/>
  <c r="AB6" i="35"/>
  <c r="AC6" i="35"/>
  <c r="AD6" i="35"/>
  <c r="Z7" i="35"/>
  <c r="AA7" i="35"/>
  <c r="AB7" i="35"/>
  <c r="AC7" i="35"/>
  <c r="AD7" i="35"/>
  <c r="AG7" i="35"/>
  <c r="Z8" i="35"/>
  <c r="AA8" i="35"/>
  <c r="AB8" i="35"/>
  <c r="AC8" i="35"/>
  <c r="AD8" i="35"/>
  <c r="AG8" i="35"/>
  <c r="Z9" i="35"/>
  <c r="AA9" i="35"/>
  <c r="AB9" i="35"/>
  <c r="AC9" i="35"/>
  <c r="AD9" i="35"/>
  <c r="Z10" i="35"/>
  <c r="AA10" i="35"/>
  <c r="AB10" i="35"/>
  <c r="AC10" i="35"/>
  <c r="AC218" i="35"/>
  <c r="AD10" i="35"/>
  <c r="Z11" i="35"/>
  <c r="AA11" i="35"/>
  <c r="AB11" i="35"/>
  <c r="AC11" i="35"/>
  <c r="AD11" i="35"/>
  <c r="Z12" i="35"/>
  <c r="AA12" i="35"/>
  <c r="AB12" i="35"/>
  <c r="AC12" i="35"/>
  <c r="AD12" i="35"/>
  <c r="Z13" i="35"/>
  <c r="AA13" i="35"/>
  <c r="AB13" i="35"/>
  <c r="AC13" i="35"/>
  <c r="AD13" i="35"/>
  <c r="Z14" i="35"/>
  <c r="AA14" i="35"/>
  <c r="AB14" i="35"/>
  <c r="AC14" i="35"/>
  <c r="AD14" i="35"/>
  <c r="Z15" i="35"/>
  <c r="AA15" i="35"/>
  <c r="AB15" i="35"/>
  <c r="AC15" i="35"/>
  <c r="AD15" i="35"/>
  <c r="AG15" i="35"/>
  <c r="Z16" i="35"/>
  <c r="AA16" i="35"/>
  <c r="AB16" i="35"/>
  <c r="AC16" i="35"/>
  <c r="AD16" i="35"/>
  <c r="AG16" i="35"/>
  <c r="Z17" i="35"/>
  <c r="AA17" i="35"/>
  <c r="AB17" i="35"/>
  <c r="AC17" i="35"/>
  <c r="AD17" i="35"/>
  <c r="Z18" i="35"/>
  <c r="AA18" i="35"/>
  <c r="AB18" i="35"/>
  <c r="AC18" i="35"/>
  <c r="AD18" i="35"/>
  <c r="Z19" i="35"/>
  <c r="AA19" i="35"/>
  <c r="AB19" i="35"/>
  <c r="AC19" i="35"/>
  <c r="AD19" i="35"/>
  <c r="Z20" i="35"/>
  <c r="AA20" i="35"/>
  <c r="AB20" i="35"/>
  <c r="AC20" i="35"/>
  <c r="AD20" i="35"/>
  <c r="Z21" i="35"/>
  <c r="AA21" i="35"/>
  <c r="AB21" i="35"/>
  <c r="AC21" i="35"/>
  <c r="AD21" i="35"/>
  <c r="Z22" i="35"/>
  <c r="AA22" i="35"/>
  <c r="AB22" i="35"/>
  <c r="AC22" i="35"/>
  <c r="AD22" i="35"/>
  <c r="Z23" i="35"/>
  <c r="AA23" i="35"/>
  <c r="AB23" i="35"/>
  <c r="AC23" i="35"/>
  <c r="AD23" i="35"/>
  <c r="AG23" i="35"/>
  <c r="Z24" i="35"/>
  <c r="AA24" i="35"/>
  <c r="AB24" i="35"/>
  <c r="AC24" i="35"/>
  <c r="AD24" i="35"/>
  <c r="AG24" i="35"/>
  <c r="Z25" i="35"/>
  <c r="AA25" i="35"/>
  <c r="AB25" i="35"/>
  <c r="AC25" i="35"/>
  <c r="AD25" i="35"/>
  <c r="Z26" i="35"/>
  <c r="AA26" i="35"/>
  <c r="AB26" i="35"/>
  <c r="AC26" i="35"/>
  <c r="AD26" i="35"/>
  <c r="Z27" i="35"/>
  <c r="AA27" i="35"/>
  <c r="AB27" i="35"/>
  <c r="AC27" i="35"/>
  <c r="AD27" i="35"/>
  <c r="Z28" i="35"/>
  <c r="AA28" i="35"/>
  <c r="AB28" i="35"/>
  <c r="AC28" i="35"/>
  <c r="AD28" i="35"/>
  <c r="Z29" i="35"/>
  <c r="AA29" i="35"/>
  <c r="AB29" i="35"/>
  <c r="AC29" i="35"/>
  <c r="AD29" i="35"/>
  <c r="Z30" i="35"/>
  <c r="AA30" i="35"/>
  <c r="AB30" i="35"/>
  <c r="AC30" i="35"/>
  <c r="AD30" i="35"/>
  <c r="Z31" i="35"/>
  <c r="AA31" i="35"/>
  <c r="AB31" i="35"/>
  <c r="AC31" i="35"/>
  <c r="AD31" i="35"/>
  <c r="Z32" i="35"/>
  <c r="AA32" i="35"/>
  <c r="AB32" i="35"/>
  <c r="AC32" i="35"/>
  <c r="AD32" i="35"/>
  <c r="Z33" i="35"/>
  <c r="AA33" i="35"/>
  <c r="AB33" i="35"/>
  <c r="AC33" i="35"/>
  <c r="AD33" i="35"/>
  <c r="Z34" i="35"/>
  <c r="AA34" i="35"/>
  <c r="AB34" i="35"/>
  <c r="AC34" i="35"/>
  <c r="AD34" i="35"/>
  <c r="Z35" i="35"/>
  <c r="AA35" i="35"/>
  <c r="AB35" i="35"/>
  <c r="AC35" i="35"/>
  <c r="AD35" i="35"/>
  <c r="Z36" i="35"/>
  <c r="AA36" i="35"/>
  <c r="AB36" i="35"/>
  <c r="AC36" i="35"/>
  <c r="AD36" i="35"/>
  <c r="Z37" i="35"/>
  <c r="AA37" i="35"/>
  <c r="AB37" i="35"/>
  <c r="AC37" i="35"/>
  <c r="AD37" i="35"/>
  <c r="AG37" i="35"/>
  <c r="Z38" i="35"/>
  <c r="AA38" i="35"/>
  <c r="AB38" i="35"/>
  <c r="AC38" i="35"/>
  <c r="AD38" i="35"/>
  <c r="Z39" i="35"/>
  <c r="AA39" i="35"/>
  <c r="AB39" i="35"/>
  <c r="AC39" i="35"/>
  <c r="AD39" i="35"/>
  <c r="Z40" i="35"/>
  <c r="AA40" i="35"/>
  <c r="AB40" i="35"/>
  <c r="AC40" i="35"/>
  <c r="AD40" i="35"/>
  <c r="Z41" i="35"/>
  <c r="AA41" i="35"/>
  <c r="AB41" i="35"/>
  <c r="AC41" i="35"/>
  <c r="AD41" i="35"/>
  <c r="Z42" i="35"/>
  <c r="AA42" i="35"/>
  <c r="AB42" i="35"/>
  <c r="AC42" i="35"/>
  <c r="AD42" i="35"/>
  <c r="Z43" i="35"/>
  <c r="AA43" i="35"/>
  <c r="AB43" i="35"/>
  <c r="AC43" i="35"/>
  <c r="AD43" i="35"/>
  <c r="Z44" i="35"/>
  <c r="AA44" i="35"/>
  <c r="AB44" i="35"/>
  <c r="AC44" i="35"/>
  <c r="AD44" i="35"/>
  <c r="Z45" i="35"/>
  <c r="AA45" i="35"/>
  <c r="AB45" i="35"/>
  <c r="AC45" i="35"/>
  <c r="AD45" i="35"/>
  <c r="Z46" i="35"/>
  <c r="AA46" i="35"/>
  <c r="AB46" i="35"/>
  <c r="AC46" i="35"/>
  <c r="AD46" i="35"/>
  <c r="Z47" i="35"/>
  <c r="AA47" i="35"/>
  <c r="AB47" i="35"/>
  <c r="AC47" i="35"/>
  <c r="AD47" i="35"/>
  <c r="Z48" i="35"/>
  <c r="AA48" i="35"/>
  <c r="AB48" i="35"/>
  <c r="AC48" i="35"/>
  <c r="AD48" i="35"/>
  <c r="Z49" i="35"/>
  <c r="AA49" i="35"/>
  <c r="AB49" i="35"/>
  <c r="AC49" i="35"/>
  <c r="AD49" i="35"/>
  <c r="AG49" i="35"/>
  <c r="Z50" i="35"/>
  <c r="AA50" i="35"/>
  <c r="AB50" i="35"/>
  <c r="AC50" i="35"/>
  <c r="AD50" i="35"/>
  <c r="Z51" i="35"/>
  <c r="AA51" i="35"/>
  <c r="AB51" i="35"/>
  <c r="AC51" i="35"/>
  <c r="AD51" i="35"/>
  <c r="Z52" i="35"/>
  <c r="AA52" i="35"/>
  <c r="AB52" i="35"/>
  <c r="AC52" i="35"/>
  <c r="AD52" i="35"/>
  <c r="Z53" i="35"/>
  <c r="AA53" i="35"/>
  <c r="AB53" i="35"/>
  <c r="AC53" i="35"/>
  <c r="AD53" i="35"/>
  <c r="Z54" i="35"/>
  <c r="AA54" i="35"/>
  <c r="AB54" i="35"/>
  <c r="AC54" i="35"/>
  <c r="AD54" i="35"/>
  <c r="AG54" i="35"/>
  <c r="Z55" i="35"/>
  <c r="AA55" i="35"/>
  <c r="AB55" i="35"/>
  <c r="AC55" i="35"/>
  <c r="AD55" i="35"/>
  <c r="AG55" i="35"/>
  <c r="Z56" i="35"/>
  <c r="AA56" i="35"/>
  <c r="AB56" i="35"/>
  <c r="AC56" i="35"/>
  <c r="AD56" i="35"/>
  <c r="Z57" i="35"/>
  <c r="AA57" i="35"/>
  <c r="AB57" i="35"/>
  <c r="AC57" i="35"/>
  <c r="AD57" i="35"/>
  <c r="Z58" i="35"/>
  <c r="AA58" i="35"/>
  <c r="AB58" i="35"/>
  <c r="AC58" i="35"/>
  <c r="AD58" i="35"/>
  <c r="Z59" i="35"/>
  <c r="AA59" i="35"/>
  <c r="AB59" i="35"/>
  <c r="AC59" i="35"/>
  <c r="AD59" i="35"/>
  <c r="Z60" i="35"/>
  <c r="AA60" i="35"/>
  <c r="AB60" i="35"/>
  <c r="AC60" i="35"/>
  <c r="AD60" i="35"/>
  <c r="Z61" i="35"/>
  <c r="AA61" i="35"/>
  <c r="AB61" i="35"/>
  <c r="AC61" i="35"/>
  <c r="AD61" i="35"/>
  <c r="Z62" i="35"/>
  <c r="AA62" i="35"/>
  <c r="AB62" i="35"/>
  <c r="AC62" i="35"/>
  <c r="AD62" i="35"/>
  <c r="Z63" i="35"/>
  <c r="AA63" i="35"/>
  <c r="AB63" i="35"/>
  <c r="AC63" i="35"/>
  <c r="AD63" i="35"/>
  <c r="Z64" i="35"/>
  <c r="AA64" i="35"/>
  <c r="AB64" i="35"/>
  <c r="AC64" i="35"/>
  <c r="AD64" i="35"/>
  <c r="Z65" i="35"/>
  <c r="AA65" i="35"/>
  <c r="AB65" i="35"/>
  <c r="AC65" i="35"/>
  <c r="AD65" i="35"/>
  <c r="Z66" i="35"/>
  <c r="AA66" i="35"/>
  <c r="AB66" i="35"/>
  <c r="AC66" i="35"/>
  <c r="AD66" i="35"/>
  <c r="Z67" i="35"/>
  <c r="AA67" i="35"/>
  <c r="AB67" i="35"/>
  <c r="AC67" i="35"/>
  <c r="AD67" i="35"/>
  <c r="Z68" i="35"/>
  <c r="AA68" i="35"/>
  <c r="AB68" i="35"/>
  <c r="AC68" i="35"/>
  <c r="AD68" i="35"/>
  <c r="Z69" i="35"/>
  <c r="AA69" i="35"/>
  <c r="AB69" i="35"/>
  <c r="AC69" i="35"/>
  <c r="AD69" i="35"/>
  <c r="Z70" i="35"/>
  <c r="AA70" i="35"/>
  <c r="AB70" i="35"/>
  <c r="AC70" i="35"/>
  <c r="AD70" i="35"/>
  <c r="Z71" i="35"/>
  <c r="AA71" i="35"/>
  <c r="AB71" i="35"/>
  <c r="AC71" i="35"/>
  <c r="AD71" i="35"/>
  <c r="AG71" i="35"/>
  <c r="Z72" i="35"/>
  <c r="AA72" i="35"/>
  <c r="AB72" i="35"/>
  <c r="AC72" i="35"/>
  <c r="AD72" i="35"/>
  <c r="AG72" i="35"/>
  <c r="Z73" i="35"/>
  <c r="AA73" i="35"/>
  <c r="AB73" i="35"/>
  <c r="AC73" i="35"/>
  <c r="AD73" i="35"/>
  <c r="AG73" i="35"/>
  <c r="Z74" i="35"/>
  <c r="AA74" i="35"/>
  <c r="AB74" i="35"/>
  <c r="AC74" i="35"/>
  <c r="AD74" i="35"/>
  <c r="Z75" i="35"/>
  <c r="AA75" i="35"/>
  <c r="AB75" i="35"/>
  <c r="AC75" i="35"/>
  <c r="AD75" i="35"/>
  <c r="Z76" i="35"/>
  <c r="AA76" i="35"/>
  <c r="AB76" i="35"/>
  <c r="AC76" i="35"/>
  <c r="AD76" i="35"/>
  <c r="Z77" i="35"/>
  <c r="AA77" i="35"/>
  <c r="AB77" i="35"/>
  <c r="AC77" i="35"/>
  <c r="AD77" i="35"/>
  <c r="Z78" i="35"/>
  <c r="AA78" i="35"/>
  <c r="AB78" i="35"/>
  <c r="AC78" i="35"/>
  <c r="AD78" i="35"/>
  <c r="Z79" i="35"/>
  <c r="AA79" i="35"/>
  <c r="AB79" i="35"/>
  <c r="AC79" i="35"/>
  <c r="AD79" i="35"/>
  <c r="Z80" i="35"/>
  <c r="AA80" i="35"/>
  <c r="AB80" i="35"/>
  <c r="AC80" i="35"/>
  <c r="AD80" i="35"/>
  <c r="AG80" i="35"/>
  <c r="Z81" i="35"/>
  <c r="AA81" i="35"/>
  <c r="AB81" i="35"/>
  <c r="AC81" i="35"/>
  <c r="AD81" i="35"/>
  <c r="AG81" i="35"/>
  <c r="Z82" i="35"/>
  <c r="AA82" i="35"/>
  <c r="AB82" i="35"/>
  <c r="AC82" i="35"/>
  <c r="AD82" i="35"/>
  <c r="AG82" i="35"/>
  <c r="Z83" i="35"/>
  <c r="AA83" i="35"/>
  <c r="AB83" i="35"/>
  <c r="AC83" i="35"/>
  <c r="AD83" i="35"/>
  <c r="AG83" i="35"/>
  <c r="Z84" i="35"/>
  <c r="AA84" i="35"/>
  <c r="AB84" i="35"/>
  <c r="AC84" i="35"/>
  <c r="AD84" i="35"/>
  <c r="AG84" i="35"/>
  <c r="Z85" i="35"/>
  <c r="AA85" i="35"/>
  <c r="AB85" i="35"/>
  <c r="AC85" i="35"/>
  <c r="AD85" i="35"/>
  <c r="AG85" i="35"/>
  <c r="Z86" i="35"/>
  <c r="AA86" i="35"/>
  <c r="AB86" i="35"/>
  <c r="AC86" i="35"/>
  <c r="AD86" i="35"/>
  <c r="AG86" i="35"/>
  <c r="Z87" i="35"/>
  <c r="AA87" i="35"/>
  <c r="AB87" i="35"/>
  <c r="AC87" i="35"/>
  <c r="AD87" i="35"/>
  <c r="AG87" i="35"/>
  <c r="Z88" i="35"/>
  <c r="AA88" i="35"/>
  <c r="AB88" i="35"/>
  <c r="AC88" i="35"/>
  <c r="AD88" i="35"/>
  <c r="Z89" i="35"/>
  <c r="AA89" i="35"/>
  <c r="AB89" i="35"/>
  <c r="AC89" i="35"/>
  <c r="AD89" i="35"/>
  <c r="Z90" i="35"/>
  <c r="AA90" i="35"/>
  <c r="AB90" i="35"/>
  <c r="AC90" i="35"/>
  <c r="AD90" i="35"/>
  <c r="Z91" i="35"/>
  <c r="AA91" i="35"/>
  <c r="AB91" i="35"/>
  <c r="AC91" i="35"/>
  <c r="AD91" i="35"/>
  <c r="Z92" i="35"/>
  <c r="AA92" i="35"/>
  <c r="AB92" i="35"/>
  <c r="AC92" i="35"/>
  <c r="AD92" i="35"/>
  <c r="Z93" i="35"/>
  <c r="AA93" i="35"/>
  <c r="AB93" i="35"/>
  <c r="AC93" i="35"/>
  <c r="AD93" i="35"/>
  <c r="Z94" i="35"/>
  <c r="AA94" i="35"/>
  <c r="AB94" i="35"/>
  <c r="AC94" i="35"/>
  <c r="AD94" i="35"/>
  <c r="Z95" i="35"/>
  <c r="AA95" i="35"/>
  <c r="AB95" i="35"/>
  <c r="AC95" i="35"/>
  <c r="AD95" i="35"/>
  <c r="Z96" i="35"/>
  <c r="AA96" i="35"/>
  <c r="AB96" i="35"/>
  <c r="AC96" i="35"/>
  <c r="AD96" i="35"/>
  <c r="Z97" i="35"/>
  <c r="AA97" i="35"/>
  <c r="AB97" i="35"/>
  <c r="AC97" i="35"/>
  <c r="AD97" i="35"/>
  <c r="Z98" i="35"/>
  <c r="AA98" i="35"/>
  <c r="AB98" i="35"/>
  <c r="AC98" i="35"/>
  <c r="AD98" i="35"/>
  <c r="Z99" i="35"/>
  <c r="AA99" i="35"/>
  <c r="AB99" i="35"/>
  <c r="AC99" i="35"/>
  <c r="AD99" i="35"/>
  <c r="Z100" i="35"/>
  <c r="AA100" i="35"/>
  <c r="AB100" i="35"/>
  <c r="AC100" i="35"/>
  <c r="AD100" i="35"/>
  <c r="Z101" i="35"/>
  <c r="AA101" i="35"/>
  <c r="AB101" i="35"/>
  <c r="AC101" i="35"/>
  <c r="AD101" i="35"/>
  <c r="Z102" i="35"/>
  <c r="AA102" i="35"/>
  <c r="AB102" i="35"/>
  <c r="AC102" i="35"/>
  <c r="AD102" i="35"/>
  <c r="Z103" i="35"/>
  <c r="AA103" i="35"/>
  <c r="AB103" i="35"/>
  <c r="AC103" i="35"/>
  <c r="AD103" i="35"/>
  <c r="Z104" i="35"/>
  <c r="AA104" i="35"/>
  <c r="AB104" i="35"/>
  <c r="AC104" i="35"/>
  <c r="AD104" i="35"/>
  <c r="Z105" i="35"/>
  <c r="AA105" i="35"/>
  <c r="AB105" i="35"/>
  <c r="AC105" i="35"/>
  <c r="AD105" i="35"/>
  <c r="Z106" i="35"/>
  <c r="AA106" i="35"/>
  <c r="AB106" i="35"/>
  <c r="AC106" i="35"/>
  <c r="AD106" i="35"/>
  <c r="Z107" i="35"/>
  <c r="AA107" i="35"/>
  <c r="AB107" i="35"/>
  <c r="AC107" i="35"/>
  <c r="AD107" i="35"/>
  <c r="Z108" i="35"/>
  <c r="AA108" i="35"/>
  <c r="AB108" i="35"/>
  <c r="AC108" i="35"/>
  <c r="AD108" i="35"/>
  <c r="Z109" i="35"/>
  <c r="AA109" i="35"/>
  <c r="AB109" i="35"/>
  <c r="AC109" i="35"/>
  <c r="AD109" i="35"/>
  <c r="Z110" i="35"/>
  <c r="AA110" i="35"/>
  <c r="AB110" i="35"/>
  <c r="AC110" i="35"/>
  <c r="AD110" i="35"/>
  <c r="Z111" i="35"/>
  <c r="AA111" i="35"/>
  <c r="AB111" i="35"/>
  <c r="AC111" i="35"/>
  <c r="AD111" i="35"/>
  <c r="Z112" i="35"/>
  <c r="AA112" i="35"/>
  <c r="AB112" i="35"/>
  <c r="AC112" i="35"/>
  <c r="AD112" i="35"/>
  <c r="Z113" i="35"/>
  <c r="AA113" i="35"/>
  <c r="AB113" i="35"/>
  <c r="AC113" i="35"/>
  <c r="AD113" i="35"/>
  <c r="Z114" i="35"/>
  <c r="AA114" i="35"/>
  <c r="AB114" i="35"/>
  <c r="AC114" i="35"/>
  <c r="AD114" i="35"/>
  <c r="Z115" i="35"/>
  <c r="AA115" i="35"/>
  <c r="AB115" i="35"/>
  <c r="AC115" i="35"/>
  <c r="AD115" i="35"/>
  <c r="Z116" i="35"/>
  <c r="AA116" i="35"/>
  <c r="AB116" i="35"/>
  <c r="AC116" i="35"/>
  <c r="AD116" i="35"/>
  <c r="Z117" i="35"/>
  <c r="AA117" i="35"/>
  <c r="AB117" i="35"/>
  <c r="AC117" i="35"/>
  <c r="AD117" i="35"/>
  <c r="AG117" i="35"/>
  <c r="Z118" i="35"/>
  <c r="AA118" i="35"/>
  <c r="AB118" i="35"/>
  <c r="AC118" i="35"/>
  <c r="AD118" i="35"/>
  <c r="AG118" i="35"/>
  <c r="Z119" i="35"/>
  <c r="AA119" i="35"/>
  <c r="AB119" i="35"/>
  <c r="AC119" i="35"/>
  <c r="AD119" i="35"/>
  <c r="AG119" i="35"/>
  <c r="Z120" i="35"/>
  <c r="AA120" i="35"/>
  <c r="AB120" i="35"/>
  <c r="AC120" i="35"/>
  <c r="AD120" i="35"/>
  <c r="AG120" i="35"/>
  <c r="Z121" i="35"/>
  <c r="AA121" i="35"/>
  <c r="AB121" i="35"/>
  <c r="AC121" i="35"/>
  <c r="AD121" i="35"/>
  <c r="Z122" i="35"/>
  <c r="AA122" i="35"/>
  <c r="AB122" i="35"/>
  <c r="AC122" i="35"/>
  <c r="AD122" i="35"/>
  <c r="Z123" i="35"/>
  <c r="AA123" i="35"/>
  <c r="AB123" i="35"/>
  <c r="AC123" i="35"/>
  <c r="AD123" i="35"/>
  <c r="Z124" i="35"/>
  <c r="AA124" i="35"/>
  <c r="AB124" i="35"/>
  <c r="AC124" i="35"/>
  <c r="AD124" i="35"/>
  <c r="Z125" i="35"/>
  <c r="AA125" i="35"/>
  <c r="AB125" i="35"/>
  <c r="AC125" i="35"/>
  <c r="AD125" i="35"/>
  <c r="Z126" i="35"/>
  <c r="AA126" i="35"/>
  <c r="AB126" i="35"/>
  <c r="AC126" i="35"/>
  <c r="AD126" i="35"/>
  <c r="Z127" i="35"/>
  <c r="AA127" i="35"/>
  <c r="AB127" i="35"/>
  <c r="AC127" i="35"/>
  <c r="AD127" i="35"/>
  <c r="Z128" i="35"/>
  <c r="AA128" i="35"/>
  <c r="AB128" i="35"/>
  <c r="AC128" i="35"/>
  <c r="AD128" i="35"/>
  <c r="Z129" i="35"/>
  <c r="AA129" i="35"/>
  <c r="AB129" i="35"/>
  <c r="AC129" i="35"/>
  <c r="AD129" i="35"/>
  <c r="Z130" i="35"/>
  <c r="AA130" i="35"/>
  <c r="AB130" i="35"/>
  <c r="AC130" i="35"/>
  <c r="AD130" i="35"/>
  <c r="Z131" i="35"/>
  <c r="AA131" i="35"/>
  <c r="AB131" i="35"/>
  <c r="AC131" i="35"/>
  <c r="AD131" i="35"/>
  <c r="Z132" i="35"/>
  <c r="AA132" i="35"/>
  <c r="AB132" i="35"/>
  <c r="AC132" i="35"/>
  <c r="AD132" i="35"/>
  <c r="Z133" i="35"/>
  <c r="AA133" i="35"/>
  <c r="AB133" i="35"/>
  <c r="AC133" i="35"/>
  <c r="AD133" i="35"/>
  <c r="Z134" i="35"/>
  <c r="AA134" i="35"/>
  <c r="AB134" i="35"/>
  <c r="AC134" i="35"/>
  <c r="AD134" i="35"/>
  <c r="Z135" i="35"/>
  <c r="AA135" i="35"/>
  <c r="AB135" i="35"/>
  <c r="AC135" i="35"/>
  <c r="AD135" i="35"/>
  <c r="Z136" i="35"/>
  <c r="AA136" i="35"/>
  <c r="AB136" i="35"/>
  <c r="AC136" i="35"/>
  <c r="AD136" i="35"/>
  <c r="Z137" i="35"/>
  <c r="AA137" i="35"/>
  <c r="AB137" i="35"/>
  <c r="AC137" i="35"/>
  <c r="AD137" i="35"/>
  <c r="Z138" i="35"/>
  <c r="AA138" i="35"/>
  <c r="AB138" i="35"/>
  <c r="AC138" i="35"/>
  <c r="AD138" i="35"/>
  <c r="AG138" i="35"/>
  <c r="Z139" i="35"/>
  <c r="AA139" i="35"/>
  <c r="AB139" i="35"/>
  <c r="AC139" i="35"/>
  <c r="AD139" i="35"/>
  <c r="AG139" i="35"/>
  <c r="Z140" i="35"/>
  <c r="AA140" i="35"/>
  <c r="AB140" i="35"/>
  <c r="AC140" i="35"/>
  <c r="AD140" i="35"/>
  <c r="AG140" i="35"/>
  <c r="Z141" i="35"/>
  <c r="AA141" i="35"/>
  <c r="AB141" i="35"/>
  <c r="AC141" i="35"/>
  <c r="AD141" i="35"/>
  <c r="AG141" i="35"/>
  <c r="Z142" i="35"/>
  <c r="AA142" i="35"/>
  <c r="AB142" i="35"/>
  <c r="AC142" i="35"/>
  <c r="AD142" i="35"/>
  <c r="AG142" i="35"/>
  <c r="Z143" i="35"/>
  <c r="AA143" i="35"/>
  <c r="AB143" i="35"/>
  <c r="AC143" i="35"/>
  <c r="AD143" i="35"/>
  <c r="Z144" i="35"/>
  <c r="AA144" i="35"/>
  <c r="AB144" i="35"/>
  <c r="AC144" i="35"/>
  <c r="AD144" i="35"/>
  <c r="Z145" i="35"/>
  <c r="AA145" i="35"/>
  <c r="AB145" i="35"/>
  <c r="AC145" i="35"/>
  <c r="AD145" i="35"/>
  <c r="Z146" i="35"/>
  <c r="AA146" i="35"/>
  <c r="AB146" i="35"/>
  <c r="AC146" i="35"/>
  <c r="AD146" i="35"/>
  <c r="Z147" i="35"/>
  <c r="AA147" i="35"/>
  <c r="AB147" i="35"/>
  <c r="AC147" i="35"/>
  <c r="AD147" i="35"/>
  <c r="Z148" i="35"/>
  <c r="AA148" i="35"/>
  <c r="AB148" i="35"/>
  <c r="AC148" i="35"/>
  <c r="AD148" i="35"/>
  <c r="Z149" i="35"/>
  <c r="AA149" i="35"/>
  <c r="AB149" i="35"/>
  <c r="AC149" i="35"/>
  <c r="AD149" i="35"/>
  <c r="Z150" i="35"/>
  <c r="AA150" i="35"/>
  <c r="AB150" i="35"/>
  <c r="AC150" i="35"/>
  <c r="AD150" i="35"/>
  <c r="Z151" i="35"/>
  <c r="AA151" i="35"/>
  <c r="AB151" i="35"/>
  <c r="AC151" i="35"/>
  <c r="AD151" i="35"/>
  <c r="Z152" i="35"/>
  <c r="AA152" i="35"/>
  <c r="AB152" i="35"/>
  <c r="AC152" i="35"/>
  <c r="AD152" i="35"/>
  <c r="Z153" i="35"/>
  <c r="AA153" i="35"/>
  <c r="AB153" i="35"/>
  <c r="AC153" i="35"/>
  <c r="AD153" i="35"/>
  <c r="Z154" i="35"/>
  <c r="AA154" i="35"/>
  <c r="AB154" i="35"/>
  <c r="AC154" i="35"/>
  <c r="AD154" i="35"/>
  <c r="Z155" i="35"/>
  <c r="AA155" i="35"/>
  <c r="AB155" i="35"/>
  <c r="AC155" i="35"/>
  <c r="AD155" i="35"/>
  <c r="AG155" i="35"/>
  <c r="Z156" i="35"/>
  <c r="AA156" i="35"/>
  <c r="AB156" i="35"/>
  <c r="AC156" i="35"/>
  <c r="AD156" i="35"/>
  <c r="AG156" i="35"/>
  <c r="Z157" i="35"/>
  <c r="AA157" i="35"/>
  <c r="AB157" i="35"/>
  <c r="AC157" i="35"/>
  <c r="AD157" i="35"/>
  <c r="AG157" i="35"/>
  <c r="Z158" i="35"/>
  <c r="AA158" i="35"/>
  <c r="AB158" i="35"/>
  <c r="AC158" i="35"/>
  <c r="AD158" i="35"/>
  <c r="Z159" i="35"/>
  <c r="AA159" i="35"/>
  <c r="AB159" i="35"/>
  <c r="AC159" i="35"/>
  <c r="AD159" i="35"/>
  <c r="Z160" i="35"/>
  <c r="AA160" i="35"/>
  <c r="AB160" i="35"/>
  <c r="AC160" i="35"/>
  <c r="AD160" i="35"/>
  <c r="Z161" i="35"/>
  <c r="AA161" i="35"/>
  <c r="AB161" i="35"/>
  <c r="AC161" i="35"/>
  <c r="AD161" i="35"/>
  <c r="Z162" i="35"/>
  <c r="AA162" i="35"/>
  <c r="AB162" i="35"/>
  <c r="AC162" i="35"/>
  <c r="AD162" i="35"/>
  <c r="Z163" i="35"/>
  <c r="AA163" i="35"/>
  <c r="AB163" i="35"/>
  <c r="AC163" i="35"/>
  <c r="AD163" i="35"/>
  <c r="Z164" i="35"/>
  <c r="AA164" i="35"/>
  <c r="AB164" i="35"/>
  <c r="AC164" i="35"/>
  <c r="AD164" i="35"/>
  <c r="Z165" i="35"/>
  <c r="AA165" i="35"/>
  <c r="AB165" i="35"/>
  <c r="AC165" i="35"/>
  <c r="AD165" i="35"/>
  <c r="Z166" i="35"/>
  <c r="AA166" i="35"/>
  <c r="AB166" i="35"/>
  <c r="AC166" i="35"/>
  <c r="AD166" i="35"/>
  <c r="Z167" i="35"/>
  <c r="AA167" i="35"/>
  <c r="AB167" i="35"/>
  <c r="AC167" i="35"/>
  <c r="AD167" i="35"/>
  <c r="Z168" i="35"/>
  <c r="AA168" i="35"/>
  <c r="AB168" i="35"/>
  <c r="AC168" i="35"/>
  <c r="AD168" i="35"/>
  <c r="Z169" i="35"/>
  <c r="AA169" i="35"/>
  <c r="AB169" i="35"/>
  <c r="AC169" i="35"/>
  <c r="AD169" i="35"/>
  <c r="Z170" i="35"/>
  <c r="AA170" i="35"/>
  <c r="AB170" i="35"/>
  <c r="AC170" i="35"/>
  <c r="AD170" i="35"/>
  <c r="Z171" i="35"/>
  <c r="AA171" i="35"/>
  <c r="AB171" i="35"/>
  <c r="AC171" i="35"/>
  <c r="AD171" i="35"/>
  <c r="Z172" i="35"/>
  <c r="AA172" i="35"/>
  <c r="AB172" i="35"/>
  <c r="AC172" i="35"/>
  <c r="AD172" i="35"/>
  <c r="Z173" i="35"/>
  <c r="AA173" i="35"/>
  <c r="AB173" i="35"/>
  <c r="AC173" i="35"/>
  <c r="AD173" i="35"/>
  <c r="Z174" i="35"/>
  <c r="AA174" i="35"/>
  <c r="AB174" i="35"/>
  <c r="AC174" i="35"/>
  <c r="AD174" i="35"/>
  <c r="Z175" i="35"/>
  <c r="AA175" i="35"/>
  <c r="AB175" i="35"/>
  <c r="AC175" i="35"/>
  <c r="AD175" i="35"/>
  <c r="Z176" i="35"/>
  <c r="AA176" i="35"/>
  <c r="AB176" i="35"/>
  <c r="AC176" i="35"/>
  <c r="AD176" i="35"/>
  <c r="Z177" i="35"/>
  <c r="AA177" i="35"/>
  <c r="AB177" i="35"/>
  <c r="AC177" i="35"/>
  <c r="AD177" i="35"/>
  <c r="Z178" i="35"/>
  <c r="AA178" i="35"/>
  <c r="AB178" i="35"/>
  <c r="AC178" i="35"/>
  <c r="AD178" i="35"/>
  <c r="Z179" i="35"/>
  <c r="AA179" i="35"/>
  <c r="AB179" i="35"/>
  <c r="AC179" i="35"/>
  <c r="AD179" i="35"/>
  <c r="Z180" i="35"/>
  <c r="AA180" i="35"/>
  <c r="AB180" i="35"/>
  <c r="AC180" i="35"/>
  <c r="AD180" i="35"/>
  <c r="Z181" i="35"/>
  <c r="AA181" i="35"/>
  <c r="AB181" i="35"/>
  <c r="AC181" i="35"/>
  <c r="AD181" i="35"/>
  <c r="Z182" i="35"/>
  <c r="AA182" i="35"/>
  <c r="AB182" i="35"/>
  <c r="AC182" i="35"/>
  <c r="AD182" i="35"/>
  <c r="Z183" i="35"/>
  <c r="AA183" i="35"/>
  <c r="AB183" i="35"/>
  <c r="AC183" i="35"/>
  <c r="AD183" i="35"/>
  <c r="Z184" i="35"/>
  <c r="AA184" i="35"/>
  <c r="AB184" i="35"/>
  <c r="AC184" i="35"/>
  <c r="AD184" i="35"/>
  <c r="Z185" i="35"/>
  <c r="AA185" i="35"/>
  <c r="AB185" i="35"/>
  <c r="AC185" i="35"/>
  <c r="AD185" i="35"/>
  <c r="Z186" i="35"/>
  <c r="AA186" i="35"/>
  <c r="AB186" i="35"/>
  <c r="AC186" i="35"/>
  <c r="AD186" i="35"/>
  <c r="Z187" i="35"/>
  <c r="AA187" i="35"/>
  <c r="AB187" i="35"/>
  <c r="AC187" i="35"/>
  <c r="AD187" i="35"/>
  <c r="Z188" i="35"/>
  <c r="AA188" i="35"/>
  <c r="AB188" i="35"/>
  <c r="AC188" i="35"/>
  <c r="AD188" i="35"/>
  <c r="Z189" i="35"/>
  <c r="AA189" i="35"/>
  <c r="AB189" i="35"/>
  <c r="AC189" i="35"/>
  <c r="AD189" i="35"/>
  <c r="Z190" i="35"/>
  <c r="AA190" i="35"/>
  <c r="AB190" i="35"/>
  <c r="AC190" i="35"/>
  <c r="AD190" i="35"/>
  <c r="Z191" i="35"/>
  <c r="AA191" i="35"/>
  <c r="AB191" i="35"/>
  <c r="AC191" i="35"/>
  <c r="AD191" i="35"/>
  <c r="Z192" i="35"/>
  <c r="AA192" i="35"/>
  <c r="AB192" i="35"/>
  <c r="AC192" i="35"/>
  <c r="AD192" i="35"/>
  <c r="Z193" i="35"/>
  <c r="AA193" i="35"/>
  <c r="AB193" i="35"/>
  <c r="AC193" i="35"/>
  <c r="AD193" i="35"/>
  <c r="Z194" i="35"/>
  <c r="AA194" i="35"/>
  <c r="AB194" i="35"/>
  <c r="AC194" i="35"/>
  <c r="AD194" i="35"/>
  <c r="Z195" i="35"/>
  <c r="AA195" i="35"/>
  <c r="AB195" i="35"/>
  <c r="AC195" i="35"/>
  <c r="AD195" i="35"/>
  <c r="Z196" i="35"/>
  <c r="AA196" i="35"/>
  <c r="AB196" i="35"/>
  <c r="AC196" i="35"/>
  <c r="AD196" i="35"/>
  <c r="Z197" i="35"/>
  <c r="AA197" i="35"/>
  <c r="AB197" i="35"/>
  <c r="AC197" i="35"/>
  <c r="AD197" i="35"/>
  <c r="Z198" i="35"/>
  <c r="AA198" i="35"/>
  <c r="AB198" i="35"/>
  <c r="AC198" i="35"/>
  <c r="AD198" i="35"/>
  <c r="Z199" i="35"/>
  <c r="AA199" i="35"/>
  <c r="AB199" i="35"/>
  <c r="AC199" i="35"/>
  <c r="AD199" i="35"/>
  <c r="Z200" i="35"/>
  <c r="AA200" i="35"/>
  <c r="AB200" i="35"/>
  <c r="AC200" i="35"/>
  <c r="AD200" i="35"/>
  <c r="Z201" i="35"/>
  <c r="AA201" i="35"/>
  <c r="AB201" i="35"/>
  <c r="AC201" i="35"/>
  <c r="AD201" i="35"/>
  <c r="Z202" i="35"/>
  <c r="AA202" i="35"/>
  <c r="AB202" i="35"/>
  <c r="AC202" i="35"/>
  <c r="AD202" i="35"/>
  <c r="Z203" i="35"/>
  <c r="AA203" i="35"/>
  <c r="AB203" i="35"/>
  <c r="AC203" i="35"/>
  <c r="AD203" i="35"/>
  <c r="Z204" i="35"/>
  <c r="AA204" i="35"/>
  <c r="AB204" i="35"/>
  <c r="AC204" i="35"/>
  <c r="AD204" i="35"/>
  <c r="Z205" i="35"/>
  <c r="AA205" i="35"/>
  <c r="AB205" i="35"/>
  <c r="AC205" i="35"/>
  <c r="AD205" i="35"/>
  <c r="Z206" i="35"/>
  <c r="AA206" i="35"/>
  <c r="AB206" i="35"/>
  <c r="AC206" i="35"/>
  <c r="AD206" i="35"/>
  <c r="Z207" i="35"/>
  <c r="AA207" i="35"/>
  <c r="AB207" i="35"/>
  <c r="AC207" i="35"/>
  <c r="AD207" i="35"/>
  <c r="Z208" i="35"/>
  <c r="AA208" i="35"/>
  <c r="AB208" i="35"/>
  <c r="AC208" i="35"/>
  <c r="AD208" i="35"/>
  <c r="Z209" i="35"/>
  <c r="AA209" i="35"/>
  <c r="AB209" i="35"/>
  <c r="AC209" i="35"/>
  <c r="AD209" i="35"/>
  <c r="Z210" i="35"/>
  <c r="AA210" i="35"/>
  <c r="AB210" i="35"/>
  <c r="AC210" i="35"/>
  <c r="AD210" i="35"/>
  <c r="Z211" i="35"/>
  <c r="AA211" i="35"/>
  <c r="AB211" i="35"/>
  <c r="AC211" i="35"/>
  <c r="AD211" i="35"/>
  <c r="Z212" i="35"/>
  <c r="AA212" i="35"/>
  <c r="AB212" i="35"/>
  <c r="AC212" i="35"/>
  <c r="AD212" i="35"/>
  <c r="Z213" i="35"/>
  <c r="AA213" i="35"/>
  <c r="AB213" i="35"/>
  <c r="AC213" i="35"/>
  <c r="AD213" i="35"/>
  <c r="AG213" i="35"/>
  <c r="Z214" i="35"/>
  <c r="AA214" i="35"/>
  <c r="AB214" i="35"/>
  <c r="AC214" i="35"/>
  <c r="AD214" i="35"/>
  <c r="Z215" i="35"/>
  <c r="AA215" i="35"/>
  <c r="AB215" i="35"/>
  <c r="AC215" i="35"/>
  <c r="AD215" i="35"/>
  <c r="AC217" i="35"/>
  <c r="T30" i="43"/>
  <c r="AB217" i="35"/>
  <c r="R34" i="26"/>
  <c r="R35" i="26"/>
  <c r="N37" i="26"/>
  <c r="T7" i="13"/>
  <c r="U6" i="13"/>
  <c r="AB217" i="2"/>
  <c r="W40" i="39"/>
  <c r="V41" i="39"/>
  <c r="AA38" i="10"/>
  <c r="AA34" i="10"/>
  <c r="AA27" i="10"/>
  <c r="AA23" i="10"/>
  <c r="AA19" i="10"/>
  <c r="AA47" i="10"/>
  <c r="AA5" i="10"/>
  <c r="AA48" i="10"/>
  <c r="T29" i="4"/>
  <c r="T25" i="4"/>
  <c r="T21" i="4"/>
  <c r="T17" i="4"/>
  <c r="T13" i="4"/>
  <c r="T9" i="4"/>
  <c r="F6" i="30"/>
  <c r="E7" i="30"/>
  <c r="B9" i="30"/>
  <c r="B10" i="30"/>
  <c r="A11" i="30"/>
  <c r="Y57" i="42"/>
  <c r="W8" i="42"/>
  <c r="Z7" i="42"/>
  <c r="Y8" i="42"/>
  <c r="Z8" i="42"/>
  <c r="W9" i="42"/>
  <c r="F7" i="30"/>
  <c r="E8" i="30"/>
  <c r="AA46" i="10"/>
  <c r="AA45" i="10"/>
  <c r="B11" i="30"/>
  <c r="A12" i="30"/>
  <c r="C11" i="30"/>
  <c r="V42" i="39"/>
  <c r="W41" i="39"/>
  <c r="T8" i="13"/>
  <c r="U7" i="13"/>
  <c r="V43" i="39"/>
  <c r="W42" i="39"/>
  <c r="Z9" i="42"/>
  <c r="W10" i="42"/>
  <c r="Y9" i="42"/>
  <c r="U8" i="13"/>
  <c r="T9" i="13"/>
  <c r="B12" i="30"/>
  <c r="A13" i="30"/>
  <c r="C12" i="30"/>
  <c r="F8" i="30"/>
  <c r="E9" i="30"/>
  <c r="U9" i="13"/>
  <c r="T10" i="13"/>
  <c r="F9" i="30"/>
  <c r="E10" i="30"/>
  <c r="W11" i="42"/>
  <c r="Y10" i="42"/>
  <c r="Z10" i="42"/>
  <c r="C13" i="30"/>
  <c r="B13" i="30"/>
  <c r="A14" i="30"/>
  <c r="W43" i="39"/>
  <c r="V44" i="39"/>
  <c r="W44" i="39"/>
  <c r="V45" i="39"/>
  <c r="F10" i="30"/>
  <c r="E11" i="30"/>
  <c r="B14" i="30"/>
  <c r="C14" i="30"/>
  <c r="T11" i="13"/>
  <c r="U10" i="13"/>
  <c r="Y11" i="42"/>
  <c r="Z11" i="42"/>
  <c r="W12" i="42"/>
  <c r="F11" i="30"/>
  <c r="E12" i="30"/>
  <c r="Y12" i="42"/>
  <c r="Z12" i="42"/>
  <c r="W13" i="42"/>
  <c r="T12" i="13"/>
  <c r="U11" i="13"/>
  <c r="V46" i="39"/>
  <c r="W45" i="39"/>
  <c r="V47" i="39"/>
  <c r="W46" i="39"/>
  <c r="U12" i="13"/>
  <c r="T13" i="13"/>
  <c r="F12" i="30"/>
  <c r="E13" i="30"/>
  <c r="Z13" i="42"/>
  <c r="W14" i="42"/>
  <c r="Y13" i="42"/>
  <c r="W15" i="42"/>
  <c r="Y14" i="42"/>
  <c r="Z14" i="42"/>
  <c r="U13" i="13"/>
  <c r="T14" i="13"/>
  <c r="F13" i="30"/>
  <c r="E14" i="30"/>
  <c r="W47" i="39"/>
  <c r="V48" i="39"/>
  <c r="E15" i="30"/>
  <c r="F14" i="30"/>
  <c r="W48" i="39"/>
  <c r="V49" i="39"/>
  <c r="U14" i="13"/>
  <c r="T15" i="13"/>
  <c r="Y15" i="42"/>
  <c r="Z15" i="42"/>
  <c r="W16" i="42"/>
  <c r="U15" i="13"/>
  <c r="T16" i="13"/>
  <c r="V50" i="39"/>
  <c r="W49" i="39"/>
  <c r="Y16" i="42"/>
  <c r="Z16" i="42"/>
  <c r="W17" i="42"/>
  <c r="F15" i="30"/>
  <c r="E16" i="30"/>
  <c r="Z17" i="42"/>
  <c r="W18" i="42"/>
  <c r="Y17" i="42"/>
  <c r="V51" i="39"/>
  <c r="W50" i="39"/>
  <c r="U16" i="13"/>
  <c r="T17" i="13"/>
  <c r="E17" i="30"/>
  <c r="F16" i="30"/>
  <c r="W51" i="39"/>
  <c r="V52" i="39"/>
  <c r="U17" i="13"/>
  <c r="T18" i="13"/>
  <c r="F17" i="30"/>
  <c r="E18" i="30"/>
  <c r="W19" i="42"/>
  <c r="Y18" i="42"/>
  <c r="Z18" i="42"/>
  <c r="Y19" i="42"/>
  <c r="Z19" i="42"/>
  <c r="W20" i="42"/>
  <c r="U18" i="13"/>
  <c r="T19" i="13"/>
  <c r="E19" i="30"/>
  <c r="F18" i="30"/>
  <c r="W52" i="39"/>
  <c r="V53" i="39"/>
  <c r="Y20" i="42"/>
  <c r="Z20" i="42"/>
  <c r="W21" i="42"/>
  <c r="F19" i="30"/>
  <c r="E20" i="30"/>
  <c r="V54" i="39"/>
  <c r="W53" i="39"/>
  <c r="U19" i="13"/>
  <c r="T20" i="13"/>
  <c r="Z21" i="42"/>
  <c r="W22" i="42"/>
  <c r="Y21" i="42"/>
  <c r="V55" i="39"/>
  <c r="W54" i="39"/>
  <c r="U20" i="13"/>
  <c r="T21" i="13"/>
  <c r="E21" i="30"/>
  <c r="F20" i="30"/>
  <c r="F21" i="30"/>
  <c r="E22" i="30"/>
  <c r="U21" i="13"/>
  <c r="T22" i="13"/>
  <c r="W55" i="39"/>
  <c r="V56" i="39"/>
  <c r="W23" i="42"/>
  <c r="Y22" i="42"/>
  <c r="Z22" i="42"/>
  <c r="U22" i="13"/>
  <c r="T23" i="13"/>
  <c r="Y23" i="42"/>
  <c r="Z23" i="42"/>
  <c r="W24" i="42"/>
  <c r="W56" i="39"/>
  <c r="V57" i="39"/>
  <c r="E23" i="30"/>
  <c r="F22" i="30"/>
  <c r="V58" i="39"/>
  <c r="W57" i="39"/>
  <c r="F23" i="30"/>
  <c r="E24" i="30"/>
  <c r="U23" i="13"/>
  <c r="T24" i="13"/>
  <c r="Y24" i="42"/>
  <c r="Z24" i="42"/>
  <c r="W25" i="42"/>
  <c r="E25" i="30"/>
  <c r="F24" i="30"/>
  <c r="U24" i="13"/>
  <c r="T25" i="13"/>
  <c r="Z25" i="42"/>
  <c r="W26" i="42"/>
  <c r="Y25" i="42"/>
  <c r="V59" i="39"/>
  <c r="W58" i="39"/>
  <c r="W59" i="39"/>
  <c r="V60" i="39"/>
  <c r="U25" i="13"/>
  <c r="T26" i="13"/>
  <c r="W27" i="42"/>
  <c r="Y26" i="42"/>
  <c r="Z26" i="42"/>
  <c r="F25" i="30"/>
  <c r="E26" i="30"/>
  <c r="W60" i="39"/>
  <c r="V61" i="39"/>
  <c r="U26" i="13"/>
  <c r="T27" i="13"/>
  <c r="E27" i="30"/>
  <c r="F26" i="30"/>
  <c r="Y27" i="42"/>
  <c r="Z27" i="42"/>
  <c r="W28" i="42"/>
  <c r="V62" i="39"/>
  <c r="W61" i="39"/>
  <c r="U27" i="13"/>
  <c r="T28" i="13"/>
  <c r="Y28" i="42"/>
  <c r="Z28" i="42"/>
  <c r="W29" i="42"/>
  <c r="F27" i="30"/>
  <c r="E28" i="30"/>
  <c r="U28" i="13"/>
  <c r="T29" i="13"/>
  <c r="Z29" i="42"/>
  <c r="W30" i="42"/>
  <c r="Y29" i="42"/>
  <c r="E29" i="30"/>
  <c r="F28" i="30"/>
  <c r="V63" i="39"/>
  <c r="W62" i="39"/>
  <c r="U29" i="13"/>
  <c r="T30" i="13"/>
  <c r="W63" i="39"/>
  <c r="V64" i="39"/>
  <c r="W31" i="42"/>
  <c r="Y30" i="42"/>
  <c r="Z30" i="42"/>
  <c r="F29" i="30"/>
  <c r="E30" i="30"/>
  <c r="W64" i="39"/>
  <c r="V65" i="39"/>
  <c r="U30" i="13"/>
  <c r="T31" i="13"/>
  <c r="E31" i="30"/>
  <c r="F30" i="30"/>
  <c r="Y31" i="42"/>
  <c r="Z31" i="42"/>
  <c r="W32" i="42"/>
  <c r="U31" i="13"/>
  <c r="T32" i="13"/>
  <c r="V66" i="39"/>
  <c r="W65" i="39"/>
  <c r="Y32" i="42"/>
  <c r="Z32" i="42"/>
  <c r="W33" i="42"/>
  <c r="F31" i="30"/>
  <c r="E32" i="30"/>
  <c r="Z33" i="42"/>
  <c r="W34" i="42"/>
  <c r="Y33" i="42"/>
  <c r="V67" i="39"/>
  <c r="W66" i="39"/>
  <c r="U32" i="13"/>
  <c r="T33" i="13"/>
  <c r="E33" i="30"/>
  <c r="F32" i="30"/>
  <c r="F33" i="30"/>
  <c r="E34" i="30"/>
  <c r="U33" i="13"/>
  <c r="T34" i="13"/>
  <c r="W67" i="39"/>
  <c r="V68" i="39"/>
  <c r="W35" i="42"/>
  <c r="Y34" i="42"/>
  <c r="Z34" i="42"/>
  <c r="Y35" i="42"/>
  <c r="Z35" i="42"/>
  <c r="W36" i="42"/>
  <c r="U34" i="13"/>
  <c r="T35" i="13"/>
  <c r="W68" i="39"/>
  <c r="V69" i="39"/>
  <c r="E35" i="30"/>
  <c r="F34" i="30"/>
  <c r="V70" i="39"/>
  <c r="W69" i="39"/>
  <c r="Y36" i="42"/>
  <c r="Z36" i="42"/>
  <c r="F35" i="30"/>
  <c r="E36" i="30"/>
  <c r="U35" i="13"/>
  <c r="T36" i="13"/>
  <c r="U36" i="13"/>
  <c r="T37" i="13"/>
  <c r="E37" i="30"/>
  <c r="F36" i="30"/>
  <c r="V71" i="39"/>
  <c r="W70" i="39"/>
  <c r="F37" i="30"/>
  <c r="E38" i="30"/>
  <c r="U37" i="13"/>
  <c r="T38" i="13"/>
  <c r="W71" i="39"/>
  <c r="V72" i="39"/>
  <c r="U38" i="13"/>
  <c r="T39" i="13"/>
  <c r="W72" i="39"/>
  <c r="V73" i="39"/>
  <c r="E39" i="30"/>
  <c r="F38" i="30"/>
  <c r="V74" i="39"/>
  <c r="W73" i="39"/>
  <c r="U39" i="13"/>
  <c r="T40" i="13"/>
  <c r="U40" i="13"/>
  <c r="F39" i="30"/>
  <c r="E40" i="30"/>
  <c r="E41" i="30"/>
  <c r="F40" i="30"/>
  <c r="V75" i="39"/>
  <c r="W74" i="39"/>
  <c r="W75" i="39"/>
  <c r="V76" i="39"/>
  <c r="F41" i="30"/>
  <c r="E42" i="30"/>
  <c r="E43" i="30"/>
  <c r="F42" i="30"/>
  <c r="W76" i="39"/>
  <c r="V77" i="39"/>
  <c r="V78" i="39"/>
  <c r="W77" i="39"/>
  <c r="F43" i="30"/>
  <c r="E44" i="30"/>
  <c r="E45" i="30"/>
  <c r="F44" i="30"/>
  <c r="V79" i="39"/>
  <c r="W78" i="39"/>
  <c r="W79" i="39"/>
  <c r="V80" i="39"/>
  <c r="F45" i="30"/>
  <c r="E46" i="30"/>
  <c r="E47" i="30"/>
  <c r="F46" i="30"/>
  <c r="W80" i="39"/>
  <c r="V81" i="39"/>
  <c r="V82" i="39"/>
  <c r="W81" i="39"/>
  <c r="F47" i="30"/>
  <c r="E48" i="30"/>
  <c r="E49" i="30"/>
  <c r="F48" i="30"/>
  <c r="V83" i="39"/>
  <c r="W82" i="39"/>
  <c r="W83" i="39"/>
  <c r="V84" i="39"/>
  <c r="F49" i="30"/>
  <c r="E50" i="30"/>
  <c r="E51" i="30"/>
  <c r="F50" i="30"/>
  <c r="W84" i="39"/>
  <c r="V85" i="39"/>
  <c r="V86" i="39"/>
  <c r="W85" i="39"/>
  <c r="F51" i="30"/>
  <c r="E52" i="30"/>
  <c r="E53" i="30"/>
  <c r="F53" i="30"/>
  <c r="F52" i="30"/>
  <c r="V87" i="39"/>
  <c r="W86" i="39"/>
  <c r="W87" i="39"/>
  <c r="V88" i="39"/>
  <c r="W88" i="39"/>
  <c r="V89" i="39"/>
  <c r="V90" i="39"/>
  <c r="W89" i="39"/>
  <c r="V91" i="39"/>
  <c r="W90" i="39"/>
  <c r="W91" i="39"/>
  <c r="V92" i="39"/>
  <c r="W92" i="39"/>
  <c r="V93" i="39"/>
  <c r="V94" i="39"/>
  <c r="W93" i="39"/>
  <c r="V95" i="39"/>
  <c r="W94" i="39"/>
  <c r="V96" i="39"/>
  <c r="W96" i="39"/>
  <c r="W95" i="39"/>
</calcChain>
</file>

<file path=xl/comments1.xml><?xml version="1.0" encoding="utf-8"?>
<comments xmlns="http://schemas.openxmlformats.org/spreadsheetml/2006/main">
  <authors>
    <author>peter mohr</author>
  </authors>
  <commentList>
    <comment ref="F221" authorId="0">
      <text>
        <r>
          <rPr>
            <b/>
            <sz val="8"/>
            <color indexed="81"/>
            <rFont val="Tahoma"/>
            <family val="2"/>
          </rPr>
          <t>peter mohr:</t>
        </r>
        <r>
          <rPr>
            <sz val="8"/>
            <color indexed="81"/>
            <rFont val="Tahoma"/>
            <family val="2"/>
          </rPr>
          <t xml:space="preserve">
müßte von der Größenordnung her der Radius sein und nicht der Durchmesser</t>
        </r>
      </text>
    </comment>
    <comment ref="E222" authorId="0">
      <text>
        <r>
          <rPr>
            <b/>
            <sz val="8"/>
            <color indexed="81"/>
            <rFont val="Tahoma"/>
            <family val="2"/>
          </rPr>
          <t>peter mohr:</t>
        </r>
        <r>
          <rPr>
            <sz val="8"/>
            <color indexed="81"/>
            <rFont val="Tahoma"/>
            <family val="2"/>
          </rPr>
          <t xml:space="preserve">
hilfsweise verwenden etwa h/d Relation von 100, also BHD 2 cm</t>
        </r>
      </text>
    </comment>
    <comment ref="C224" authorId="0">
      <text>
        <r>
          <rPr>
            <b/>
            <sz val="8"/>
            <color indexed="81"/>
            <rFont val="Tahoma"/>
            <family val="2"/>
          </rPr>
          <t>peter mohr:</t>
        </r>
        <r>
          <rPr>
            <sz val="8"/>
            <color indexed="81"/>
            <rFont val="Tahoma"/>
            <family val="2"/>
          </rPr>
          <t xml:space="preserve">
comparatively understocked, large bole % ...</t>
        </r>
      </text>
    </comment>
  </commentList>
</comments>
</file>

<file path=xl/comments2.xml><?xml version="1.0" encoding="utf-8"?>
<comments xmlns="http://schemas.openxmlformats.org/spreadsheetml/2006/main">
  <authors>
    <author>Ch. Werner</author>
    <author>Kirstin Werner</author>
  </authors>
  <commentList>
    <comment ref="Q3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+0,07(Woody litterfall, measured over 2 yrs.)</t>
        </r>
      </text>
    </comment>
    <comment ref="S3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Biomass of new foliage plus the increase in weight of old foliage; foliage litterfall was 0.49, 0.8 and 1.11 t/ha/yr in columns left to right.</t>
        </r>
      </text>
    </comment>
    <comment ref="Q4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+0,19(Woody litterfall, measured over 2 yrs.)</t>
        </r>
      </text>
    </comment>
    <comment ref="S4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Biomass of new foliage plus the increase in weight of old foliage; foliage litterfall was 0.49, 0.8 and 1.11 t/ha/yr in columns left to right.</t>
        </r>
      </text>
    </comment>
    <comment ref="Q5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+0,32(Woody litterfall, measured over 2 yrs.)</t>
        </r>
      </text>
    </comment>
    <comment ref="S5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Biomass of new foliage plus the increase in weight of old foliage; foliage litterfall was 0.49, 0.8 and 1.11 t/ha/yr in columns left to right.</t>
        </r>
      </text>
    </comment>
    <comment ref="C6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Initial plant spacings were 0.8 x 0.8 m, 1.0 x 1.0 m, 1.2 x 1.2 m and 1.2 x 0.6 m in columns left to right.</t>
        </r>
      </text>
    </comment>
    <comment ref="J6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Including dead branches; the biomass of living and dead branches excluding young shoots was 10.5, 11.2, 13.4 and 9.3 t/ha in columns left to right.</t>
        </r>
      </text>
    </comment>
    <comment ref="C7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Initial plant spacings were 0.8 x 0.8 m, 1.0 x 1.0 m, 1.2 x 1.2 m and 1.2 x 0.6 m in columns left to right.</t>
        </r>
      </text>
    </comment>
    <comment ref="J7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Including dead branches; the biomass of living and dead branches excluding young shoots was 10.5, 11.2, 13.4 and 9.3 t/ha in columns left to right.</t>
        </r>
      </text>
    </comment>
    <comment ref="C8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Initial plant spacings were 0.8 x 0.8 m, 1.0 x 1.0 m, 1.2 x 1.2 m and 1.2 x 0.6 m in columns left to right.</t>
        </r>
      </text>
    </comment>
    <comment ref="J8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Including dead branches; the biomass of living and dead branches excluding young shoots was 10.5, 11.2, 13.4 and 9.3 t/ha in columns left to right.</t>
        </r>
      </text>
    </comment>
    <comment ref="C9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Initial plant spacings were 0.8 x 0.8 m, 1.0 x 1.0 m, 1.2 x 1.2 m and 1.2 x 0.6 m in columns left to right.</t>
        </r>
      </text>
    </comment>
    <comment ref="J9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Including dead branches; the biomass of living and dead branches excluding young shoots was 10.5, 11.2, 13.4 and 9.3 t/ha in columns left to right.</t>
        </r>
      </text>
    </comment>
    <comment ref="R10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Litterfall only.</t>
        </r>
      </text>
    </comment>
    <comment ref="S10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Litterfall only.</t>
        </r>
      </text>
    </comment>
    <comment ref="T10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Litterfall only.; +0,02 (Frass litterfall).</t>
        </r>
      </text>
    </comment>
    <comment ref="B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50-60 (Values for </t>
        </r>
        <r>
          <rPr>
            <i/>
            <sz val="10"/>
            <color indexed="81"/>
            <rFont val="Tahoma"/>
            <family val="2"/>
          </rPr>
          <t>I.aquifolium.</t>
        </r>
        <r>
          <rPr>
            <sz val="10"/>
            <color indexed="81"/>
            <rFont val="Tahoma"/>
            <family val="2"/>
          </rPr>
          <t xml:space="preserve"> Production values include </t>
        </r>
        <r>
          <rPr>
            <i/>
            <sz val="10"/>
            <color indexed="81"/>
            <rFont val="Tahoma"/>
            <family val="2"/>
          </rPr>
          <t>I. aquifolium.</t>
        </r>
        <r>
          <rPr>
            <sz val="10"/>
            <color indexed="81"/>
            <rFont val="Tahoma"/>
            <family val="2"/>
          </rPr>
          <t>)</t>
        </r>
      </text>
    </comment>
    <comment ref="C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+4532(Values for I.aquifolium. Production values include I. aquifolium.)</t>
        </r>
      </text>
    </comment>
    <comment ref="D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6-7(Values for I.aquifolium. Production values include I. aquifolium.)</t>
        </r>
      </text>
    </comment>
    <comment ref="E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+3,6(Values for I.aquifolium. Production values include I. aquifolium.)</t>
        </r>
      </text>
    </comment>
    <comment ref="F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Including</t>
        </r>
        <r>
          <rPr>
            <i/>
            <sz val="10"/>
            <color indexed="81"/>
            <rFont val="Tahoma"/>
            <family val="2"/>
          </rPr>
          <t xml:space="preserve"> I. aquifolium</t>
        </r>
        <r>
          <rPr>
            <sz val="10"/>
            <color indexed="81"/>
            <rFont val="Tahoma"/>
            <family val="2"/>
          </rPr>
          <t>;</t>
        </r>
        <r>
          <rPr>
            <sz val="10"/>
            <color indexed="81"/>
            <rFont val="Tahoma"/>
            <family val="2"/>
          </rPr>
          <t xml:space="preserve"> all-sided LAI was probably in the range 18-24.</t>
        </r>
      </text>
    </comment>
    <comment ref="H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+9,5(Values for I.aquifolium. Production values include I. aquifolium.)</t>
        </r>
      </text>
    </comment>
    <comment ref="I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+9,5(Values for I.aquifolium. Production values include I. aquifolium.)</t>
        </r>
      </text>
    </comment>
    <comment ref="J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+9,5(Values for I.aquifolium. Production values include I. aquifolium.)</t>
        </r>
      </text>
    </comment>
    <comment ref="K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+9,5(Values for I.aquifolium. Production values include I. aquifolium.)</t>
        </r>
      </text>
    </comment>
    <comment ref="L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+1,8+9,5(Values for I.aquifolium. Production values include I. aquifolium.)</t>
        </r>
      </text>
    </comment>
    <comment ref="O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+0,04 (Litterfall of </t>
        </r>
        <r>
          <rPr>
            <i/>
            <sz val="10"/>
            <color indexed="81"/>
            <rFont val="Tahoma"/>
            <family val="2"/>
          </rPr>
          <t xml:space="preserve">P. sylvestris </t>
        </r>
        <r>
          <rPr>
            <sz val="10"/>
            <color indexed="81"/>
            <rFont val="Tahoma"/>
            <family val="2"/>
          </rPr>
          <t>and</t>
        </r>
        <r>
          <rPr>
            <i/>
            <sz val="10"/>
            <color indexed="81"/>
            <rFont val="Tahoma"/>
            <family val="2"/>
          </rPr>
          <t xml:space="preserve"> I. aquifolium</t>
        </r>
        <r>
          <rPr>
            <sz val="10"/>
            <color indexed="81"/>
            <rFont val="Tahoma"/>
            <family val="2"/>
          </rPr>
          <t>.)</t>
        </r>
      </text>
    </comment>
    <comment ref="Q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+1,34(Litterfall of P. sylvestris and I. aquifolium.)</t>
        </r>
      </text>
    </comment>
    <comment ref="R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+1,05(Litterfall of P. sylvestris and I. aquifolium.)</t>
        </r>
      </text>
    </comment>
    <comment ref="S1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(Litterfall of P. sylvestris and I. aquifolium.)</t>
        </r>
      </text>
    </comment>
    <comment ref="A12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Unfertilized plot.</t>
        </r>
      </text>
    </comment>
    <comment ref="M12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Stumps only.</t>
        </r>
      </text>
    </comment>
    <comment ref="S12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13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Fertilized plot.</t>
        </r>
      </text>
    </comment>
    <comment ref="M13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Stumps only.</t>
        </r>
      </text>
    </comment>
    <comment ref="S13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14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Fertilized plot.</t>
        </r>
      </text>
    </comment>
    <comment ref="M14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Stumps only.</t>
        </r>
      </text>
    </comment>
    <comment ref="S14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15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Fertilized plot.</t>
        </r>
      </text>
    </comment>
    <comment ref="M15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Stumos only.</t>
        </r>
      </text>
    </comment>
    <comment ref="S15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16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Fertilized plot.</t>
        </r>
      </text>
    </comment>
    <comment ref="M16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Stumps only.</t>
        </r>
      </text>
    </comment>
    <comment ref="S16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17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Percentage of the total basal area accounted for by</t>
        </r>
        <r>
          <rPr>
            <i/>
            <sz val="10"/>
            <color indexed="81"/>
            <rFont val="Tahoma"/>
            <family val="2"/>
          </rPr>
          <t xml:space="preserve"> P. sylvestris.</t>
        </r>
      </text>
    </comment>
    <comment ref="D17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Dominant tree height.</t>
        </r>
      </text>
    </comment>
    <comment ref="S17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18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Percentage of the total basal area accounted for by P. sylvestris.</t>
        </r>
      </text>
    </comment>
    <comment ref="D18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Dominant tree height.</t>
        </r>
      </text>
    </comment>
    <comment ref="S18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19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Percentage of the total basal area accounted for by P. sylvestris.</t>
        </r>
      </text>
    </comment>
    <comment ref="D19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Dominant tree heights.</t>
        </r>
      </text>
    </comment>
    <comment ref="S19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20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Percentage of the total basal area accounted for by P. sylvestris.</t>
        </r>
      </text>
    </comment>
    <comment ref="D20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Dominant tree height.</t>
        </r>
      </text>
    </comment>
    <comment ref="S20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2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Percentage of the total basal area accounted for by P. sylvestris.</t>
        </r>
      </text>
    </comment>
    <comment ref="D2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Dominant tree height.</t>
        </r>
      </text>
    </comment>
    <comment ref="S21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22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Percentage of the total basal area accounted for by P. sylvestris.</t>
        </r>
      </text>
    </comment>
    <comment ref="D22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Dominant tree height.</t>
        </r>
      </text>
    </comment>
    <comment ref="S22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23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Percentage of the total basal area accounted for by  </t>
        </r>
        <r>
          <rPr>
            <i/>
            <sz val="10"/>
            <color indexed="81"/>
            <rFont val="Tahoma"/>
            <family val="2"/>
          </rPr>
          <t>P. sylvestris.</t>
        </r>
      </text>
    </comment>
    <comment ref="D23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Dominant tree height.</t>
        </r>
      </text>
    </comment>
    <comment ref="S23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24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Percentage of the total basal area accounted for by  </t>
        </r>
        <r>
          <rPr>
            <i/>
            <sz val="10"/>
            <color indexed="81"/>
            <rFont val="Tahoma"/>
            <family val="2"/>
          </rPr>
          <t>P. sylvestris.</t>
        </r>
      </text>
    </comment>
    <comment ref="D24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Dominant tree height.</t>
        </r>
      </text>
    </comment>
    <comment ref="S24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25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Percentage of the total basal area accounted for by P. sylvestris.</t>
        </r>
      </text>
    </comment>
    <comment ref="D25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Dominant tree height.</t>
        </r>
      </text>
    </comment>
    <comment ref="S25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26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Percentage of the total basal area accounted for by P. sylvestris.</t>
        </r>
      </text>
    </comment>
    <comment ref="D26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Dominant tree height.</t>
        </r>
      </text>
    </comment>
    <comment ref="S26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27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Percentage of the total basal area accounted for by P. sylvestris.</t>
        </r>
      </text>
    </comment>
    <comment ref="D27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Dominant tree height.</t>
        </r>
      </text>
    </comment>
    <comment ref="S27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28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Percentage of the total basal area accounted for by P. sylvestris.</t>
        </r>
      </text>
    </comment>
    <comment ref="D28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Dominant tree height.</t>
        </r>
      </text>
    </comment>
    <comment ref="S28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Biomass of new foliage.</t>
        </r>
      </text>
    </comment>
    <comment ref="A32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Plantation.</t>
        </r>
      </text>
    </comment>
    <comment ref="F32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All-sided LAI values can be obtained by multiplying by 2.8</t>
        </r>
      </text>
    </comment>
    <comment ref="A33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Naturally regenerated.</t>
        </r>
      </text>
    </comment>
    <comment ref="F33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All-sided LAI values can be obtained by multiplying by 2.8</t>
        </r>
      </text>
    </comment>
    <comment ref="A34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Naturally regenerated.</t>
        </r>
      </text>
    </comment>
    <comment ref="F34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All-sided LAI values can be obtained by multiplying by 2.8</t>
        </r>
      </text>
    </comment>
    <comment ref="A35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Plantation.</t>
        </r>
      </text>
    </comment>
    <comment ref="F35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All-sided LAI values can be obtained by multiplying by 2.8</t>
        </r>
      </text>
    </comment>
    <comment ref="A36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Plantation.</t>
        </r>
      </text>
    </comment>
    <comment ref="F36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All-sided LAI values can be obtained by multiplying by 2.8</t>
        </r>
      </text>
    </comment>
    <comment ref="A37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Plantation.</t>
        </r>
      </text>
    </comment>
    <comment ref="F37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All-sided LAI values can be obtained by multiplying by 2.8</t>
        </r>
      </text>
    </comment>
    <comment ref="A38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Plantation.</t>
        </r>
      </text>
    </comment>
    <comment ref="F38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All-sided LAI values can be obtained by multiplying by 2.8</t>
        </r>
      </text>
    </comment>
    <comment ref="A39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Plantation.</t>
        </r>
      </text>
    </comment>
    <comment ref="F39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All-sided LAI values can be obtained by multiplying by 2.8</t>
        </r>
      </text>
    </comment>
    <comment ref="A40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Plantation.</t>
        </r>
      </text>
    </comment>
    <comment ref="F40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All-sided LAI values can be obtained by multiplying by 2.8</t>
        </r>
      </text>
    </comment>
    <comment ref="E41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(circa)</t>
        </r>
      </text>
    </comment>
    <comment ref="H41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or 120,6 (Alternative values derived from regressions on tree girth.)</t>
        </r>
      </text>
    </comment>
    <comment ref="J41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or 14,4(Alternative values derived from regressions on tree girth.)</t>
        </r>
      </text>
    </comment>
    <comment ref="L41" authorId="0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or 7,6(Alternative values derived from regressions on tree girth.)</t>
        </r>
      </text>
    </comment>
    <comment ref="O42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Woody litterfall</t>
        </r>
      </text>
    </comment>
    <comment ref="S42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Foliage litterfall; foliage litterfall in the other two columns was 2.1 and 2.3 t/ha/yr left and right, respectively.</t>
        </r>
      </text>
    </comment>
    <comment ref="O43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+2,2 (Woody litterfall.)</t>
        </r>
      </text>
    </comment>
    <comment ref="O44" authorId="1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+0,1 (Woody litterfall).</t>
        </r>
      </text>
    </comment>
  </commentList>
</comments>
</file>

<file path=xl/sharedStrings.xml><?xml version="1.0" encoding="utf-8"?>
<sst xmlns="http://schemas.openxmlformats.org/spreadsheetml/2006/main" count="8737" uniqueCount="1825">
  <si>
    <t>Adlisberg; 620m;</t>
  </si>
  <si>
    <t>XII. 1925</t>
  </si>
  <si>
    <t>Gurmels; 605m;</t>
  </si>
  <si>
    <t>XI. 1937</t>
  </si>
  <si>
    <t>II.1943</t>
  </si>
  <si>
    <t>,</t>
  </si>
  <si>
    <t>Gurmels; 560m;</t>
  </si>
  <si>
    <t>XI.1937</t>
  </si>
  <si>
    <t>Zürich, Rigiblick;</t>
  </si>
  <si>
    <t xml:space="preserve"> 620m; XII.1925</t>
  </si>
  <si>
    <t>Eglisau;410m;II.1940</t>
  </si>
  <si>
    <t>Chur; V. 1036</t>
  </si>
  <si>
    <t>1S8</t>
  </si>
  <si>
    <t>Wohlen; 455 m; III 1946</t>
  </si>
  <si>
    <t>Montmagny; VIII. 1936</t>
  </si>
  <si>
    <t>IX.1927</t>
  </si>
  <si>
    <t>Schaffhausen; XI. 1921</t>
  </si>
  <si>
    <t xml:space="preserve">Wassergehalt des Föhrenholzes in Prozenten des  </t>
  </si>
  <si>
    <t>Frischgewichtes und des Trockengewichtes.</t>
  </si>
  <si>
    <t>Tab. 4</t>
  </si>
  <si>
    <t>Alter [Jahre]</t>
  </si>
  <si>
    <t>Wassergehalt des Föhrenholzes in Prozenten des</t>
  </si>
  <si>
    <t>Frischgewichtes</t>
  </si>
  <si>
    <t>Trockengewichtes</t>
  </si>
  <si>
    <t>Ganzer Stamm [%]</t>
  </si>
  <si>
    <t>Rein Splint [%]</t>
  </si>
  <si>
    <t>Rein Kern [%]</t>
  </si>
  <si>
    <t>Adlisberg; 670m; IX. 1945</t>
  </si>
  <si>
    <t>Gantal</t>
  </si>
  <si>
    <t>Adlisberg; 670 m;</t>
  </si>
  <si>
    <t>59--66</t>
  </si>
  <si>
    <t>Adlisberg; 670 m; IV. 1932</t>
  </si>
  <si>
    <t>Magglingen; 1070 m;</t>
  </si>
  <si>
    <t>Eglisau; 410 m; III. 1939</t>
  </si>
  <si>
    <t>Eglisan.</t>
  </si>
  <si>
    <t>Samaden; 1950 m; IX. 1940</t>
  </si>
  <si>
    <t xml:space="preserve">Ural </t>
  </si>
  <si>
    <t>Lenzburg, Hard; 400 m;</t>
  </si>
  <si>
    <t>VI.1924</t>
  </si>
  <si>
    <t>Gurmels; 605 m; IX. 1927</t>
  </si>
  <si>
    <t>Adlisberg; 620m; XII. 1025</t>
  </si>
  <si>
    <t>Gurmels: 605 m; XI. 1937</t>
  </si>
  <si>
    <t>Gurmels; 605 m; II. 1943</t>
  </si>
  <si>
    <t>Gurmels; 560 m; XI. 1937</t>
  </si>
  <si>
    <t>Zürich, Rigiblick; 620m;</t>
  </si>
  <si>
    <t>Eglisau; 410 m; II. 1940</t>
  </si>
  <si>
    <t>Wohlen; 455 m; III. 1946</t>
  </si>
  <si>
    <t>Montmagny; VIII. 1986</t>
  </si>
  <si>
    <t>Gurmels; 560m; II. 1943</t>
  </si>
  <si>
    <t>Baumpaar</t>
  </si>
  <si>
    <t>Höhe [m]</t>
  </si>
  <si>
    <t>KAH [m]</t>
  </si>
  <si>
    <t>Mittl. StammD [m]</t>
  </si>
  <si>
    <t>Mittlerer KrD [m]</t>
  </si>
  <si>
    <t>Quelle</t>
  </si>
  <si>
    <t>GKI</t>
  </si>
  <si>
    <t>Bartsch</t>
  </si>
  <si>
    <t>Burger12</t>
  </si>
  <si>
    <t>Burger14</t>
  </si>
  <si>
    <t>Dengler1</t>
  </si>
  <si>
    <t>Dengler2</t>
  </si>
  <si>
    <t>Flemes</t>
  </si>
  <si>
    <t>Dengler 1937: Kronenwachstum märkischer Altkiefern.</t>
  </si>
  <si>
    <t>Tabelle1. Beschreibung der Probestämme</t>
  </si>
  <si>
    <t>Forstamt</t>
  </si>
  <si>
    <t>Abtlg.</t>
  </si>
  <si>
    <t>Dm.1,3m [cm]</t>
  </si>
  <si>
    <t>Höhe total [m]</t>
  </si>
  <si>
    <t>Kronen-länge [m]</t>
  </si>
  <si>
    <t>Kronenbreite [m]</t>
  </si>
  <si>
    <t>Freistand [Jahre]</t>
  </si>
  <si>
    <t>Art des Unterstandes</t>
  </si>
  <si>
    <t>1=Beastung, 2= Benadelung, und 3=Gesundheitszustand</t>
  </si>
  <si>
    <t>Bonität nach Betriebswert (Bestand)</t>
  </si>
  <si>
    <t>Bonität nach Höhe 100j. Schw.08 (Baum)</t>
  </si>
  <si>
    <t>Ast 1</t>
  </si>
  <si>
    <t>Ast 2</t>
  </si>
  <si>
    <t>zus.</t>
  </si>
  <si>
    <t>Finowtal</t>
  </si>
  <si>
    <t>208f</t>
  </si>
  <si>
    <t>?</t>
  </si>
  <si>
    <t>Ki-Stangen</t>
  </si>
  <si>
    <t>1u.2) mitteldicht, 3) Schwamm unten</t>
  </si>
  <si>
    <t>III.</t>
  </si>
  <si>
    <t>II,0</t>
  </si>
  <si>
    <t>II,3</t>
  </si>
  <si>
    <t>1u.2) etwas locker und schütter, 3) Schwamm mitten</t>
  </si>
  <si>
    <t>II,7</t>
  </si>
  <si>
    <t>Ki-Stangen mit Bu</t>
  </si>
  <si>
    <t>1) stark einseitig, 2) sehr dicht, 3) mehrere Schwämme bis oben</t>
  </si>
  <si>
    <t>II./III.</t>
  </si>
  <si>
    <t>1u.2) ziemlich dicht, 3) zwei Schwämme mitten und unten</t>
  </si>
  <si>
    <t>III,0</t>
  </si>
  <si>
    <t>Eberswalde (Tiefensee)</t>
  </si>
  <si>
    <t>1u.2) allseitig gut und dicht, 3) Schwamm unten</t>
  </si>
  <si>
    <t>II.</t>
  </si>
  <si>
    <t>I,3</t>
  </si>
  <si>
    <t>Ei-Stangen</t>
  </si>
  <si>
    <t>1u.2) nach 3 Seiten gut und dicht, nach der 4. etwas schlechter u. dürftiger</t>
  </si>
  <si>
    <t>Eberswalde</t>
  </si>
  <si>
    <t>Ei-Stangen mit Bu, Hbu</t>
  </si>
  <si>
    <t>1u.2) allseitig sehr voll und dicht, 3) mehrere Schwämme oben</t>
  </si>
  <si>
    <t>Ei-Stangen mit Carya</t>
  </si>
  <si>
    <t>1u.2) allseitig voll und dicht, 3) zwei Blitz- o. Baumschläge am Schaft</t>
  </si>
  <si>
    <t>I,4</t>
  </si>
  <si>
    <t>SitkaFi-Horst</t>
  </si>
  <si>
    <t>1) locker, 2) etwas schütter, 3) gesund</t>
  </si>
  <si>
    <t>II,2</t>
  </si>
  <si>
    <t>Ki, geringes Baumholz</t>
  </si>
  <si>
    <t>1u.2) voll und dicht, 3) alter Scwamm bei 5 m</t>
  </si>
  <si>
    <t>III,8</t>
  </si>
  <si>
    <t>1) locker, 2) voll und frischgrün, 3) Schwamm unten und oben</t>
  </si>
  <si>
    <t>1) mittel, 2) voll und frisch, 3) Schwamm mitten und unten</t>
  </si>
  <si>
    <t>II,5</t>
  </si>
  <si>
    <t>Freienwalde (Breitelege)</t>
  </si>
  <si>
    <t>1u.2) dicht und frischgrün, 3) Schwamm mitten und unten</t>
  </si>
  <si>
    <t>IV.(III.)</t>
  </si>
  <si>
    <t>III,9</t>
  </si>
  <si>
    <t>1) etwas locker, 2) mitteldicht, 3) ?</t>
  </si>
  <si>
    <t>IV,0</t>
  </si>
  <si>
    <t>1) ziemlich locker, 2) mitteldicht, 3) Schwamm unten</t>
  </si>
  <si>
    <t>III,3</t>
  </si>
  <si>
    <t>Ki und Bu Baumholz</t>
  </si>
  <si>
    <t>1u.2) voll und dicht, 3) einige kleine Misteln, Schwamm oben</t>
  </si>
  <si>
    <t>II,6</t>
  </si>
  <si>
    <t>-</t>
  </si>
  <si>
    <t>1u.2) voll und dicht, 3) Schwamm unten</t>
  </si>
  <si>
    <t>II,8</t>
  </si>
  <si>
    <t>265a</t>
  </si>
  <si>
    <t>1) etwas locker, 2) dicht und voll, 3) mehrere Schwämme unten</t>
  </si>
  <si>
    <t>I,6</t>
  </si>
  <si>
    <t>1) etwas einseitg, 2) mitteldicht, 3) Schwamm in der Mitte</t>
  </si>
  <si>
    <t>IV.</t>
  </si>
  <si>
    <t>I,7</t>
  </si>
  <si>
    <t>Bot. Garten</t>
  </si>
  <si>
    <t>Garten</t>
  </si>
  <si>
    <t>1u.2) sehr voll und dicht, 3) gesund</t>
  </si>
  <si>
    <t>über I.</t>
  </si>
  <si>
    <t>noch enthalten:</t>
  </si>
  <si>
    <t>Abb.3</t>
  </si>
  <si>
    <t>Grafiken und Tabellen zum Höhen und Seitenwachstum dieser Altkiefern in den letzen Jahrzehnten !</t>
  </si>
  <si>
    <t>Tab.2 und 3</t>
  </si>
  <si>
    <t>Quelle:</t>
  </si>
  <si>
    <t>Dengler, Alfred (1937): Über das Kronenwachstum märkischer Altkiefern. Zeitschrift für Forst- und Jagdwesen. LXIX., H.1, S. 1-23</t>
  </si>
  <si>
    <t>Altkiefern und Nadelmassen</t>
  </si>
  <si>
    <t>Baumart</t>
  </si>
  <si>
    <t>Durchmesser in 1m [cm]</t>
  </si>
  <si>
    <t>etwa rechner. BHD [cm]</t>
  </si>
  <si>
    <t>Volumen [fm]</t>
  </si>
  <si>
    <t>Kronenprojek-tionsfläche [qm]</t>
  </si>
  <si>
    <t>rechner. Kronendurch-messer [m]</t>
  </si>
  <si>
    <t>Nadelgewicht, lufttrocken [g]</t>
  </si>
  <si>
    <t>mittl. Gewicht der einzelnen Doppelnadel [g]</t>
  </si>
  <si>
    <t>mittl. Länge der Nadel [mm]</t>
  </si>
  <si>
    <t>mittl. Oberfläche der Einzelnadel [qmm]</t>
  </si>
  <si>
    <t>Gesamtnadelober-fläche [qm]</t>
  </si>
  <si>
    <t>Abb.4 und Tab.1: zum Höhen und Volumenwachstum dieser Altkiefern in den letzen Jahrzehnten !</t>
  </si>
  <si>
    <t>Dengler, Alfred (1937): Kronengröße, Nadelmenge und Zuwachsleistung von Altkiefern. Zeitschrift für Forst- und Jagdwesen. LXIX., H.7, S. 321-336</t>
  </si>
  <si>
    <t>BURGER Tab. 12</t>
  </si>
  <si>
    <t>bei Föhren verschiedener Durchmesser, bei 1. Bonität</t>
  </si>
  <si>
    <t>Dm. in 1,3 m cm.</t>
  </si>
  <si>
    <t>Schat-ten-Krone m</t>
  </si>
  <si>
    <t>Licht-Krone m</t>
  </si>
  <si>
    <t>Gesamt-Krone m</t>
  </si>
  <si>
    <t>Schirm-fläche m2</t>
  </si>
  <si>
    <t>Kronen-Ober-, fläche m3</t>
  </si>
  <si>
    <t>Kronendurch-messer [m]</t>
  </si>
  <si>
    <t>BURGER Tab.14</t>
  </si>
  <si>
    <t>Baumzahlen, Gesamtreisiggewicht, Nadelfrischgewicht, Kronenschirmfläche,  Kronenraum und Schaftderbholzzuwachs.</t>
  </si>
  <si>
    <t>Dm. in 1,3 m</t>
  </si>
  <si>
    <t>Baum-Zahl je ha</t>
  </si>
  <si>
    <t>Schafderbholzzuwachs im Jahr</t>
  </si>
  <si>
    <t>Je Baum</t>
  </si>
  <si>
    <t>je ha</t>
  </si>
  <si>
    <t>je Baum</t>
  </si>
  <si>
    <t>Je ha</t>
  </si>
  <si>
    <t xml:space="preserve">je ha </t>
  </si>
  <si>
    <t>Schirmfläche</t>
  </si>
  <si>
    <t>Kronendurchmesser</t>
  </si>
  <si>
    <t>Stück</t>
  </si>
  <si>
    <t>m2</t>
  </si>
  <si>
    <t>m3</t>
  </si>
  <si>
    <t>Baumpaare Kiefer und Birke und deren Dimensionen aus BARTSCH (2000)</t>
  </si>
  <si>
    <t>Kronenlänge [m]</t>
  </si>
  <si>
    <t>Bekronungsgrad</t>
  </si>
  <si>
    <t>Kronenverhältnis</t>
  </si>
  <si>
    <t>H/D Verhältnis</t>
  </si>
  <si>
    <t>Stammstandortsformengruppe</t>
  </si>
  <si>
    <t xml:space="preserve">Revier   </t>
  </si>
  <si>
    <t>Abt.</t>
  </si>
  <si>
    <t>BI</t>
  </si>
  <si>
    <t>M2</t>
  </si>
  <si>
    <t>Dobritz</t>
  </si>
  <si>
    <t>1529a2</t>
  </si>
  <si>
    <t>1 01</t>
  </si>
  <si>
    <t>1 48</t>
  </si>
  <si>
    <t>1542b1</t>
  </si>
  <si>
    <t>1543a9</t>
  </si>
  <si>
    <t>1529a6</t>
  </si>
  <si>
    <t>Z2</t>
  </si>
  <si>
    <t>Bärenthoren</t>
  </si>
  <si>
    <t>1323a4</t>
  </si>
  <si>
    <t>1484b</t>
  </si>
  <si>
    <t>Golmitz</t>
  </si>
  <si>
    <t>1251b</t>
  </si>
  <si>
    <t>1238a</t>
  </si>
  <si>
    <t>Leuenberger Wiesen</t>
  </si>
  <si>
    <t>543a4</t>
  </si>
  <si>
    <t>28a4</t>
  </si>
  <si>
    <t>M1</t>
  </si>
  <si>
    <t>Zerbst</t>
  </si>
  <si>
    <t>3125b2</t>
  </si>
  <si>
    <t>3125b4</t>
  </si>
  <si>
    <t>Bartsch, Axel (2000): Analytische Untersuchungen zur interspezifischen Konkurrenz von Gemeiner Kiefer und Sandbirke mit Schlußfolgerungen für die Behandlung von Mischbeständen. Diplomarbeit FH Eberswalde, 76 plus Anhang</t>
  </si>
  <si>
    <t>OVINGTON</t>
  </si>
  <si>
    <t>WANG</t>
  </si>
  <si>
    <t>Table I:</t>
  </si>
  <si>
    <t>Table 2:</t>
  </si>
  <si>
    <t>Average tree dimensions in birch plots</t>
  </si>
  <si>
    <t xml:space="preserve">Tree structural parameters </t>
  </si>
  <si>
    <t>Age (years)</t>
  </si>
  <si>
    <t>Height (m)</t>
  </si>
  <si>
    <t>No. of trees per ha</t>
  </si>
  <si>
    <t>Heigth of the lowest living branch (m)</t>
  </si>
  <si>
    <t>Stem diameter at breast height (cm)</t>
  </si>
  <si>
    <t>Min. canopy spread (m)</t>
  </si>
  <si>
    <t>Max. canopy spread (m)</t>
  </si>
  <si>
    <t>Height % max. canopy spread (m)</t>
  </si>
  <si>
    <t>Betula verrucosa (%)</t>
  </si>
  <si>
    <t>Kronendurchm.</t>
  </si>
  <si>
    <t>Age</t>
  </si>
  <si>
    <t>Crown radius (m)</t>
  </si>
  <si>
    <t>Crown length (m)</t>
  </si>
  <si>
    <t>Total leaf area (m2)</t>
  </si>
  <si>
    <t>Specific leaf area (m2/ g)</t>
  </si>
  <si>
    <t>Ambient</t>
  </si>
  <si>
    <t>FLEMES (1937; Abb.-Unterschriften):</t>
  </si>
  <si>
    <t>Jagen</t>
  </si>
  <si>
    <t>etwa Alter [Jahre]</t>
  </si>
  <si>
    <t>Kraftsche Klasse</t>
  </si>
  <si>
    <t>BHD [cm]</t>
  </si>
  <si>
    <t>ansonsten nur grobe Zuordnung nach Kraftschen Kronenklassen für diese beiden Bestände</t>
  </si>
  <si>
    <t>Flemes, Erich (1937): Über die Zuwachsleistungen einzelner Stämme reiner Kiefern-Altbestände in Abhängigkeit von Stammstärke, Kronengröße und Lebensalter. Zeitschrift für Forst- und Jagdwesen. LXIX., H.8, S. 369-413</t>
  </si>
  <si>
    <t>TOMA (1940):</t>
  </si>
  <si>
    <t>Kiefernversuchsreihen 81-86j. im FoA Falkenberg (Reg.-Bez. Merseburg) und 105-117j. im FoA Eberswalde</t>
  </si>
  <si>
    <t>1397 Stämme!!</t>
  </si>
  <si>
    <t>Kronenkarten durch Ablotung, Auszählung Kronenprojektionsfläche und errechnen entspr. KrD</t>
  </si>
  <si>
    <t>Beschreibung der einzelnen Versuchsflächen siehe S.309</t>
  </si>
  <si>
    <t>entspr. Diplomarbeit bzw. Dissertation besorgen !!!</t>
  </si>
  <si>
    <t>parameter</t>
  </si>
  <si>
    <t>Abb. 3 Graf. Darstellung KrD/ BHD</t>
  </si>
  <si>
    <t>Summarische Darstellungen z.B. in Tab.3</t>
  </si>
  <si>
    <t>aber keine Einzelwerte</t>
  </si>
  <si>
    <t>interessant:</t>
  </si>
  <si>
    <t>Abb.18: Verteilung der Stammzahl, Kronenfläche und des Kreisflächenzuwachses je Hektar auf die Kronenklassen.</t>
  </si>
  <si>
    <r>
      <t>St:d</t>
    </r>
    <r>
      <rPr>
        <vertAlign val="subscript"/>
        <sz val="9"/>
        <rFont val="Arial"/>
        <family val="2"/>
      </rPr>
      <t>1</t>
    </r>
    <r>
      <rPr>
        <sz val="9"/>
        <rFont val="Arial"/>
        <family val="2"/>
      </rPr>
      <t xml:space="preserve"> [cm]</t>
    </r>
  </si>
  <si>
    <r>
      <t>St:d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[cm]</t>
    </r>
  </si>
  <si>
    <r>
      <t>Kr:r</t>
    </r>
    <r>
      <rPr>
        <vertAlign val="subscript"/>
        <sz val="9"/>
        <rFont val="Arial"/>
        <family val="2"/>
      </rPr>
      <t>1</t>
    </r>
    <r>
      <rPr>
        <sz val="9"/>
        <rFont val="Arial"/>
        <family val="2"/>
      </rPr>
      <t xml:space="preserve"> [m]</t>
    </r>
  </si>
  <si>
    <r>
      <t>Kr:r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[m]</t>
    </r>
  </si>
  <si>
    <r>
      <t>Kr:r</t>
    </r>
    <r>
      <rPr>
        <vertAlign val="subscript"/>
        <sz val="9"/>
        <rFont val="Arial"/>
        <family val="2"/>
      </rPr>
      <t>3</t>
    </r>
    <r>
      <rPr>
        <sz val="9"/>
        <rFont val="Arial"/>
        <family val="2"/>
      </rPr>
      <t xml:space="preserve"> [m]</t>
    </r>
  </si>
  <si>
    <r>
      <t>Kr:r</t>
    </r>
    <r>
      <rPr>
        <vertAlign val="subscript"/>
        <sz val="9"/>
        <rFont val="Arial"/>
        <family val="2"/>
      </rPr>
      <t>4</t>
    </r>
    <r>
      <rPr>
        <sz val="9"/>
        <rFont val="Arial"/>
        <family val="2"/>
      </rPr>
      <t xml:space="preserve"> [m]</t>
    </r>
  </si>
  <si>
    <r>
      <t>Zylindr. Kronenvolumen [m</t>
    </r>
    <r>
      <rPr>
        <vertAlign val="superscript"/>
        <sz val="9"/>
        <color indexed="10"/>
        <rFont val="Arial"/>
        <family val="2"/>
      </rPr>
      <t>3</t>
    </r>
    <r>
      <rPr>
        <sz val="9"/>
        <color indexed="10"/>
        <rFont val="Arial"/>
        <family val="2"/>
      </rPr>
      <t>]</t>
    </r>
  </si>
  <si>
    <r>
      <t>Schirmfläche [m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]</t>
    </r>
  </si>
  <si>
    <t>KrD</t>
  </si>
  <si>
    <t>Burger15</t>
  </si>
  <si>
    <t>KrD [m]</t>
  </si>
  <si>
    <t>Erteld</t>
  </si>
  <si>
    <t>Quelle: Rademacher, Peter, Bienvenido Buß und Burkhard Müller-Using (1999): Waldbau und Nährstoffmanagement als integrierte Aufgabe in der Kiefernwirtschaft auf ärmeren pleistozänen Sanden. Forst und Holz (54.), S. 330-335</t>
  </si>
  <si>
    <t>Biomasse-Entzug und Nährstoffgehalte</t>
  </si>
  <si>
    <t>Nds. FoA Fuhrberg</t>
  </si>
  <si>
    <t>mäßig frische bis sommertrockene, schwach bis mäßig nährstoffversorgte, talsandgeprägte Podsole</t>
  </si>
  <si>
    <t>WaldGe: aus Heideaufforstungen um 1870ff hervorgegangener Kiefernwald</t>
  </si>
  <si>
    <t>Tab. 1a: Volumen und Trockenmasse (TS)je Hektar, sowie Kompartimentanteile an der oberirdischen Baummasse (BM)</t>
  </si>
  <si>
    <t>von Kiefernbeständen in 3 Altern</t>
  </si>
  <si>
    <t>Baumkompartimente</t>
  </si>
  <si>
    <t>Nadeln</t>
  </si>
  <si>
    <t>Zweige und Äste &lt;7cm</t>
  </si>
  <si>
    <t>Zopfrinde &lt;7cm</t>
  </si>
  <si>
    <t>Zopfholz &lt;7cm</t>
  </si>
  <si>
    <t>Derbastrinde &gt;7cm</t>
  </si>
  <si>
    <t>Derbastholz &gt;7cm</t>
  </si>
  <si>
    <t>Schaftrinde &gt;7cm</t>
  </si>
  <si>
    <t>Schaftholz &gt;7cm</t>
  </si>
  <si>
    <t>Stöcke</t>
  </si>
  <si>
    <t>Grob- und Mittelwurzeln</t>
  </si>
  <si>
    <t>Feinwurzeln</t>
  </si>
  <si>
    <t>Alter 25 (4060 KI/ ha)</t>
  </si>
  <si>
    <t>Alter 45 (942 KI/ ha)</t>
  </si>
  <si>
    <t>Alter 115 (160 KI/ ha)</t>
  </si>
  <si>
    <t>m3/ ha</t>
  </si>
  <si>
    <t>t TS/ ha</t>
  </si>
  <si>
    <t>% oberird. BM</t>
  </si>
  <si>
    <t>Oberir. Baummasse</t>
  </si>
  <si>
    <t>Gesamtbaummasse</t>
  </si>
  <si>
    <t>Zopf und Derbäste</t>
  </si>
  <si>
    <t>Schaftrinde</t>
  </si>
  <si>
    <t>Alter 25</t>
  </si>
  <si>
    <t>Alter 115</t>
  </si>
  <si>
    <t>Alter 45</t>
  </si>
  <si>
    <t>kg/ Baum</t>
  </si>
  <si>
    <t>jeweils Mittelwert aus 15 Proben (Alter 25 und 45) und</t>
  </si>
  <si>
    <t>5 Proben (Alter 115)</t>
  </si>
  <si>
    <t>Tab. 1b: Trockenmasse (kg/ Baum) durchschnittlicher Entnahmebäume von Kieferbeständen in 3 Altern</t>
  </si>
  <si>
    <t>Baumdaten Solitäre TB-Reihe Fröhlich und Schutzgemeinschaft Deutscher Wald</t>
  </si>
  <si>
    <t>Stand: 25.07.2002</t>
  </si>
  <si>
    <t>Baum-Nr. TB</t>
  </si>
  <si>
    <t>Standort</t>
  </si>
  <si>
    <t>Altersspanne [Jahre]</t>
  </si>
  <si>
    <t>mittl. Alter [Jahre]</t>
  </si>
  <si>
    <t>BHU [cm]</t>
  </si>
  <si>
    <t>Bemerkung</t>
  </si>
  <si>
    <t>Bundesland</t>
  </si>
  <si>
    <t>Stolberg</t>
  </si>
  <si>
    <t>150-200</t>
  </si>
  <si>
    <t>Verwachsung zweier Buchen</t>
  </si>
  <si>
    <t>Sachsen-Anhalt</t>
  </si>
  <si>
    <t>Vitzenburg</t>
  </si>
  <si>
    <t>Schlitzblättrige Buche, Solitär</t>
  </si>
  <si>
    <t>Beesenstedt</t>
  </si>
  <si>
    <t>Blutbuche</t>
  </si>
  <si>
    <t>Zappendorf</t>
  </si>
  <si>
    <t>Westerloy</t>
  </si>
  <si>
    <t>Niedersachsen</t>
  </si>
  <si>
    <t>200-250</t>
  </si>
  <si>
    <t>Otterndorf</t>
  </si>
  <si>
    <t>Oldenbüttel</t>
  </si>
  <si>
    <t>Anderlingen</t>
  </si>
  <si>
    <t>Hutebuche</t>
  </si>
  <si>
    <t>Eggenstedt</t>
  </si>
  <si>
    <t>Bad Freienwalde</t>
  </si>
  <si>
    <t>200-300</t>
  </si>
  <si>
    <t>Brandenburg</t>
  </si>
  <si>
    <t>Hadmersleben</t>
  </si>
  <si>
    <t>Solitär</t>
  </si>
  <si>
    <t>Jever</t>
  </si>
  <si>
    <t>Parkbaum</t>
  </si>
  <si>
    <t>Oldenburg</t>
  </si>
  <si>
    <t>Schledehausen</t>
  </si>
  <si>
    <t>Wulfsode</t>
  </si>
  <si>
    <t>Brockhöfe</t>
  </si>
  <si>
    <t>Groß Schönebeck</t>
  </si>
  <si>
    <t>250-300</t>
  </si>
  <si>
    <t>Ballenstedt</t>
  </si>
  <si>
    <t>Weißenfels</t>
  </si>
  <si>
    <t>Langendorf</t>
  </si>
  <si>
    <t>Bad Iburg</t>
  </si>
  <si>
    <t>alter Grenzbaum</t>
  </si>
  <si>
    <t>250-350</t>
  </si>
  <si>
    <t>Cösitz</t>
  </si>
  <si>
    <t>Deersheim</t>
  </si>
  <si>
    <t>300-350</t>
  </si>
  <si>
    <t>Haren</t>
  </si>
  <si>
    <t>Radewitz</t>
  </si>
  <si>
    <t>mit Verwachsung, hier Hauptbm.</t>
  </si>
  <si>
    <t>Mecklenburg-Vorpommern</t>
  </si>
  <si>
    <t>Quitzin</t>
  </si>
  <si>
    <t>Buchholz</t>
  </si>
  <si>
    <t>Karstorf</t>
  </si>
  <si>
    <t>Zwiesel</t>
  </si>
  <si>
    <t>Freidorf</t>
  </si>
  <si>
    <t>vermtl. aus mehr. verwachs. Bm.</t>
  </si>
  <si>
    <t>Ulrichshusen</t>
  </si>
  <si>
    <t>Dobbin</t>
  </si>
  <si>
    <t>Lüttenhagen</t>
  </si>
  <si>
    <t>bis 350</t>
  </si>
  <si>
    <t>nur Maximalwerte !</t>
  </si>
  <si>
    <t>Parchim</t>
  </si>
  <si>
    <t>99-113</t>
  </si>
  <si>
    <t>nur Maximalwerte!</t>
  </si>
  <si>
    <t>Wardenburg</t>
  </si>
  <si>
    <t>Älteste DG Dtl.</t>
  </si>
  <si>
    <t>Wolgast</t>
  </si>
  <si>
    <t>Eiche</t>
  </si>
  <si>
    <t>Neugersdorf</t>
  </si>
  <si>
    <t>100-150</t>
  </si>
  <si>
    <t>Wittenberg</t>
  </si>
  <si>
    <t>Waldow</t>
  </si>
  <si>
    <t>gemeinsame Krone</t>
  </si>
  <si>
    <t>Bamme</t>
  </si>
  <si>
    <t>Michendorf</t>
  </si>
  <si>
    <t>Langlingen</t>
  </si>
  <si>
    <t>Lübzow</t>
  </si>
  <si>
    <t>300-400</t>
  </si>
  <si>
    <t>Wittstock</t>
  </si>
  <si>
    <t>Haage</t>
  </si>
  <si>
    <t>Leuenberg</t>
  </si>
  <si>
    <t>Falkenberg</t>
  </si>
  <si>
    <t>Altlandsberg</t>
  </si>
  <si>
    <t>Weyhausen</t>
  </si>
  <si>
    <t>Putlitz</t>
  </si>
  <si>
    <t>350-400</t>
  </si>
  <si>
    <t>Görlsdorf</t>
  </si>
  <si>
    <t>Althüttendorf</t>
  </si>
  <si>
    <t>Potsdam</t>
  </si>
  <si>
    <t>Meseberg</t>
  </si>
  <si>
    <t>350-450</t>
  </si>
  <si>
    <t>Reckum</t>
  </si>
  <si>
    <t>Huteeiche</t>
  </si>
  <si>
    <t>Schradener Wald</t>
  </si>
  <si>
    <t>400-450</t>
  </si>
  <si>
    <t>Glambeck</t>
  </si>
  <si>
    <t>400-500</t>
  </si>
  <si>
    <t>Schönwalde</t>
  </si>
  <si>
    <t>Krügersdorf</t>
  </si>
  <si>
    <t>Bad Liebenwerda</t>
  </si>
  <si>
    <t>Kühnauer Park</t>
  </si>
  <si>
    <t>Osnabrück</t>
  </si>
  <si>
    <t xml:space="preserve">Solitär, gewaltige Krone </t>
  </si>
  <si>
    <t>Scheeßel</t>
  </si>
  <si>
    <t>Trampe</t>
  </si>
  <si>
    <t>450-550</t>
  </si>
  <si>
    <t>Grüntal</t>
  </si>
  <si>
    <t>Pinnow</t>
  </si>
  <si>
    <t>500-600</t>
  </si>
  <si>
    <t>Bobenwald</t>
  </si>
  <si>
    <t>mächtiger Baum</t>
  </si>
  <si>
    <t>Drei Annen Hohne</t>
  </si>
  <si>
    <t>600-700</t>
  </si>
  <si>
    <t>Krone z.T. trocken</t>
  </si>
  <si>
    <t>Neuenburger Urwald</t>
  </si>
  <si>
    <t>Göthewitz</t>
  </si>
  <si>
    <t>Stieleiche</t>
  </si>
  <si>
    <t>Krüden</t>
  </si>
  <si>
    <t>Alt Madlitz</t>
  </si>
  <si>
    <t>Wittenberge</t>
  </si>
  <si>
    <t>Perwenitz</t>
  </si>
  <si>
    <t>Teupitz</t>
  </si>
  <si>
    <t>Schraden</t>
  </si>
  <si>
    <t>Neuendorf</t>
  </si>
  <si>
    <t>Bärenklau</t>
  </si>
  <si>
    <t>Neulögow</t>
  </si>
  <si>
    <t>Lychen</t>
  </si>
  <si>
    <t>Ferchesar</t>
  </si>
  <si>
    <t>Reitwein</t>
  </si>
  <si>
    <t>um 300</t>
  </si>
  <si>
    <t>Ragösen</t>
  </si>
  <si>
    <t>Gottow</t>
  </si>
  <si>
    <t>Fürstlich Drehna</t>
  </si>
  <si>
    <t>Zwillingseiche</t>
  </si>
  <si>
    <t>Briescht</t>
  </si>
  <si>
    <t>Chossewitz</t>
  </si>
  <si>
    <t>Klein Muckrow</t>
  </si>
  <si>
    <t>Rosengarten</t>
  </si>
  <si>
    <t>Brenitz</t>
  </si>
  <si>
    <t>Saathain</t>
  </si>
  <si>
    <t>Trebendorf</t>
  </si>
  <si>
    <t>Teutschenthal</t>
  </si>
  <si>
    <t>Ahlden</t>
  </si>
  <si>
    <t>Zehlendorf</t>
  </si>
  <si>
    <t>Oranienburg</t>
  </si>
  <si>
    <t>Marienwerder</t>
  </si>
  <si>
    <t>Biesenthal</t>
  </si>
  <si>
    <t>Groß Wudicke</t>
  </si>
  <si>
    <t>Kerstenbruch</t>
  </si>
  <si>
    <t>Körbiskrug</t>
  </si>
  <si>
    <t>Steinkirchen</t>
  </si>
  <si>
    <t>Rassmannsdorf</t>
  </si>
  <si>
    <t>Hoppenrade</t>
  </si>
  <si>
    <t>Neuruppin</t>
  </si>
  <si>
    <t>Zernikow</t>
  </si>
  <si>
    <t>Liebenberg</t>
  </si>
  <si>
    <t>Glienicke</t>
  </si>
  <si>
    <t>Funkenhagen</t>
  </si>
  <si>
    <t>Götschendorf</t>
  </si>
  <si>
    <t>Schöneberg</t>
  </si>
  <si>
    <t>Schluft</t>
  </si>
  <si>
    <t>Lanke</t>
  </si>
  <si>
    <t>Nennhausen</t>
  </si>
  <si>
    <t>Schiffmühle</t>
  </si>
  <si>
    <t>Wollup</t>
  </si>
  <si>
    <t>Neuhardenberg</t>
  </si>
  <si>
    <t>Waldsieversdorf</t>
  </si>
  <si>
    <t>Eggersdorf</t>
  </si>
  <si>
    <t>Sacrow</t>
  </si>
  <si>
    <t>Neuseddin</t>
  </si>
  <si>
    <t>Stücken</t>
  </si>
  <si>
    <t>Dahlen</t>
  </si>
  <si>
    <t>Neuehütten</t>
  </si>
  <si>
    <t>Mahlsdorf</t>
  </si>
  <si>
    <t>Kemnitz</t>
  </si>
  <si>
    <t>Kloster Zinna</t>
  </si>
  <si>
    <t>Schuhlen</t>
  </si>
  <si>
    <t>Lübben</t>
  </si>
  <si>
    <t>Straupitz</t>
  </si>
  <si>
    <t>Neubrück</t>
  </si>
  <si>
    <t>Bugk</t>
  </si>
  <si>
    <t>Oelsen</t>
  </si>
  <si>
    <t>Schwenow</t>
  </si>
  <si>
    <t>Neuzelle</t>
  </si>
  <si>
    <t>Sonnewalde</t>
  </si>
  <si>
    <t>unrunde Krone (15/25)</t>
  </si>
  <si>
    <t>Elsterwerda</t>
  </si>
  <si>
    <t>Neu Döbern</t>
  </si>
  <si>
    <t>Kunersdorf</t>
  </si>
  <si>
    <t>Leuthen</t>
  </si>
  <si>
    <t>Muckrow</t>
  </si>
  <si>
    <t>Cottbus</t>
  </si>
  <si>
    <t>Insel Vilm</t>
  </si>
  <si>
    <t>Elend</t>
  </si>
  <si>
    <t>Heiligengrabe</t>
  </si>
  <si>
    <t>Elslake</t>
  </si>
  <si>
    <t>Oderin</t>
  </si>
  <si>
    <t>Golssen</t>
  </si>
  <si>
    <t>Retzin</t>
  </si>
  <si>
    <t>Siebmannshorst</t>
  </si>
  <si>
    <t>Treskow</t>
  </si>
  <si>
    <t>Steinförde</t>
  </si>
  <si>
    <t>Dannenwalde</t>
  </si>
  <si>
    <t>Altkünkendorf</t>
  </si>
  <si>
    <t>Chorin</t>
  </si>
  <si>
    <t>Hirschfelde</t>
  </si>
  <si>
    <t>Altranft</t>
  </si>
  <si>
    <t>Pritzhagen</t>
  </si>
  <si>
    <t>Kleinmachnow</t>
  </si>
  <si>
    <t>um 400</t>
  </si>
  <si>
    <t>Kolberg</t>
  </si>
  <si>
    <t>Reichwalde</t>
  </si>
  <si>
    <t>Steinsdorf</t>
  </si>
  <si>
    <t>Behlow</t>
  </si>
  <si>
    <t>Groß Kölzig</t>
  </si>
  <si>
    <t>Ivenack</t>
  </si>
  <si>
    <t>Jütrichau</t>
  </si>
  <si>
    <t>Klewesche Häuser</t>
  </si>
  <si>
    <t>Boitzenburg</t>
  </si>
  <si>
    <t>Stegelitz</t>
  </si>
  <si>
    <t>Reetz</t>
  </si>
  <si>
    <t>Thyrow</t>
  </si>
  <si>
    <t>Horstwalde</t>
  </si>
  <si>
    <t>Bärwalde</t>
  </si>
  <si>
    <t>Gersdorf</t>
  </si>
  <si>
    <t>Helenenhof</t>
  </si>
  <si>
    <t>Vichel</t>
  </si>
  <si>
    <t>Gramzow</t>
  </si>
  <si>
    <t>Neubau</t>
  </si>
  <si>
    <t>Warthe</t>
  </si>
  <si>
    <t>Brodowin</t>
  </si>
  <si>
    <t>Prötzel</t>
  </si>
  <si>
    <t>Gusow</t>
  </si>
  <si>
    <t>Stülpe</t>
  </si>
  <si>
    <t>Steinhöfel</t>
  </si>
  <si>
    <t>Radlow</t>
  </si>
  <si>
    <t>Bomsdorf</t>
  </si>
  <si>
    <t>Saßleben</t>
  </si>
  <si>
    <t>Briest</t>
  </si>
  <si>
    <t>Wehringdorf</t>
  </si>
  <si>
    <t>Tornow</t>
  </si>
  <si>
    <t>450-500</t>
  </si>
  <si>
    <t>Lebusa</t>
  </si>
  <si>
    <t>Mesendorf</t>
  </si>
  <si>
    <t>um 500</t>
  </si>
  <si>
    <t>Schönfließ</t>
  </si>
  <si>
    <t>Damitzow</t>
  </si>
  <si>
    <t>"Dicke Eiche"</t>
  </si>
  <si>
    <t>Altfriedland</t>
  </si>
  <si>
    <t>äste/grobwiurzel</t>
  </si>
  <si>
    <t>Setzsteig</t>
  </si>
  <si>
    <t>Biegenbrück</t>
  </si>
  <si>
    <t>Calau</t>
  </si>
  <si>
    <t>Raben-Steinfeld</t>
  </si>
  <si>
    <t>&gt;500</t>
  </si>
  <si>
    <t>Groß Gievitz</t>
  </si>
  <si>
    <t>Gadow</t>
  </si>
  <si>
    <t>Eichhorst</t>
  </si>
  <si>
    <t>Blumberg</t>
  </si>
  <si>
    <t>Haselberg</t>
  </si>
  <si>
    <t>Rietzer See</t>
  </si>
  <si>
    <t>Groß Beuchow</t>
  </si>
  <si>
    <t>Repten</t>
  </si>
  <si>
    <t>Tessin</t>
  </si>
  <si>
    <t>Speck</t>
  </si>
  <si>
    <t>Jemmeritz</t>
  </si>
  <si>
    <t>Pansfelde</t>
  </si>
  <si>
    <t>Markendorf</t>
  </si>
  <si>
    <t>550-650</t>
  </si>
  <si>
    <t>Steckby</t>
  </si>
  <si>
    <t>600-800</t>
  </si>
  <si>
    <t>steil aufrechte Äste</t>
  </si>
  <si>
    <t>Heinersdorf</t>
  </si>
  <si>
    <t>750-800</t>
  </si>
  <si>
    <t>900-1000</t>
  </si>
  <si>
    <t>Kienhorst</t>
  </si>
  <si>
    <t>Traubeneiche</t>
  </si>
  <si>
    <t>Worpswede</t>
  </si>
  <si>
    <t>Bergfelde</t>
  </si>
  <si>
    <t>Erkner</t>
  </si>
  <si>
    <t>Domherrenhagen</t>
  </si>
  <si>
    <t>Staffelde</t>
  </si>
  <si>
    <t>Liebenthal</t>
  </si>
  <si>
    <t>Müncheberg</t>
  </si>
  <si>
    <t>Himmelpfort</t>
  </si>
  <si>
    <t>Gratze</t>
  </si>
  <si>
    <t>700-800</t>
  </si>
  <si>
    <t>Allrode</t>
  </si>
  <si>
    <t>Holdenstedt</t>
  </si>
  <si>
    <t>ab 1-2m fünfstämmig</t>
  </si>
  <si>
    <t>Schorfheide</t>
  </si>
  <si>
    <t>vierstämmig</t>
  </si>
  <si>
    <t>"Denglerkiefer"</t>
  </si>
  <si>
    <t>um 200</t>
  </si>
  <si>
    <t>30 starke, solitäre Altkiefern</t>
  </si>
  <si>
    <t>Egsdorf</t>
  </si>
  <si>
    <t>Storkow</t>
  </si>
  <si>
    <t>Freidensau</t>
  </si>
  <si>
    <t>mehrstämmig</t>
  </si>
  <si>
    <t>Freudenberg</t>
  </si>
  <si>
    <t>Kunsterspring</t>
  </si>
  <si>
    <t>150-170</t>
  </si>
  <si>
    <t>Buckow</t>
  </si>
  <si>
    <t>Marienroda</t>
  </si>
  <si>
    <t>150-180</t>
  </si>
  <si>
    <t>Brunow</t>
  </si>
  <si>
    <t>Elendstal</t>
  </si>
  <si>
    <t>stärkste Fichte dort</t>
  </si>
  <si>
    <t>Strausberg</t>
  </si>
  <si>
    <t>Brocken</t>
  </si>
  <si>
    <t>250-400</t>
  </si>
  <si>
    <t>Spannenwerte Höhe aufgeteilt</t>
  </si>
  <si>
    <t>Sonstige</t>
  </si>
  <si>
    <t>Ahorn</t>
  </si>
  <si>
    <t>Birnbaum</t>
  </si>
  <si>
    <t>100-120</t>
  </si>
  <si>
    <t>Wildobst</t>
  </si>
  <si>
    <t>Wörlitzer Park</t>
  </si>
  <si>
    <t>Eibe</t>
  </si>
  <si>
    <t>Kirchwistedt</t>
  </si>
  <si>
    <t>hohler Stamm</t>
  </si>
  <si>
    <t>Wehrendorf</t>
  </si>
  <si>
    <t>800-1000</t>
  </si>
  <si>
    <t>evtl. Verwachsung, dann jünger</t>
  </si>
  <si>
    <t>Elsbeere</t>
  </si>
  <si>
    <t>Friedrichsaue</t>
  </si>
  <si>
    <t>Großefehn</t>
  </si>
  <si>
    <t>Kahlwinkel</t>
  </si>
  <si>
    <t>Ladeburg</t>
  </si>
  <si>
    <t>Feldulme</t>
  </si>
  <si>
    <t>Wustrow</t>
  </si>
  <si>
    <t>Flatterulme</t>
  </si>
  <si>
    <t>Groß Schauen</t>
  </si>
  <si>
    <t>Berkenbrück</t>
  </si>
  <si>
    <t>Breslack</t>
  </si>
  <si>
    <t>Kleinsee</t>
  </si>
  <si>
    <t>kränkelnd (mittlerw. abgest.)</t>
  </si>
  <si>
    <t>Dreilingen</t>
  </si>
  <si>
    <t>Hainbuche</t>
  </si>
  <si>
    <t>Klosterlindow</t>
  </si>
  <si>
    <t>Verwachsung mit Junglinde</t>
  </si>
  <si>
    <t>Finsterwalde</t>
  </si>
  <si>
    <t>nur ein Kronenast übrig</t>
  </si>
  <si>
    <t>Hohenfinow</t>
  </si>
  <si>
    <t>Dammendorf</t>
  </si>
  <si>
    <t>Achelriede</t>
  </si>
  <si>
    <t>Dorflinde</t>
  </si>
  <si>
    <t>Brünkendorf</t>
  </si>
  <si>
    <t>Dannenberg</t>
  </si>
  <si>
    <t>Baumruine</t>
  </si>
  <si>
    <t>Söllenthin</t>
  </si>
  <si>
    <t>Barenaue</t>
  </si>
  <si>
    <t>Gerichtslinde</t>
  </si>
  <si>
    <t>Lindena</t>
  </si>
  <si>
    <t>regenerierte Krone</t>
  </si>
  <si>
    <t>Brielow</t>
  </si>
  <si>
    <t>Maulbeerbaum</t>
  </si>
  <si>
    <t>Birkholz</t>
  </si>
  <si>
    <t>Groß Muckrow</t>
  </si>
  <si>
    <t>Nuß</t>
  </si>
  <si>
    <t>Pappel</t>
  </si>
  <si>
    <t>Rühstädt</t>
  </si>
  <si>
    <t>Forst</t>
  </si>
  <si>
    <t>Platane</t>
  </si>
  <si>
    <t>Prenzlau</t>
  </si>
  <si>
    <t>Schwedt</t>
  </si>
  <si>
    <t>Schulzendorf</t>
  </si>
  <si>
    <t>Ragow</t>
  </si>
  <si>
    <t>Altjeßnitz</t>
  </si>
  <si>
    <t>Pretzsch</t>
  </si>
  <si>
    <t>Robinie</t>
  </si>
  <si>
    <t>Roßkastanie</t>
  </si>
  <si>
    <t>Park Luisium</t>
  </si>
  <si>
    <t>Sandbirke</t>
  </si>
  <si>
    <t>Maulbeerwalde</t>
  </si>
  <si>
    <t>Schwarze Maulbeere</t>
  </si>
  <si>
    <t>200-240</t>
  </si>
  <si>
    <t>Wrietzen</t>
  </si>
  <si>
    <t>Schwarzpappel</t>
  </si>
  <si>
    <t>80-100</t>
  </si>
  <si>
    <t>Mürow</t>
  </si>
  <si>
    <t>Silberpappel</t>
  </si>
  <si>
    <t>Raben</t>
  </si>
  <si>
    <t>Sommerlinde</t>
  </si>
  <si>
    <t>4 eng zus-st. Stä.</t>
  </si>
  <si>
    <t>Schönberg</t>
  </si>
  <si>
    <t>Wustrau</t>
  </si>
  <si>
    <t>Gutengermendorf</t>
  </si>
  <si>
    <t>Groß Lindow</t>
  </si>
  <si>
    <t>Klein Rietz</t>
  </si>
  <si>
    <t>Groß Rietz</t>
  </si>
  <si>
    <t>Zwillingsstamm</t>
  </si>
  <si>
    <t>Kampehl</t>
  </si>
  <si>
    <t>Buberow</t>
  </si>
  <si>
    <t>Stechow</t>
  </si>
  <si>
    <t>Zagelsdorf</t>
  </si>
  <si>
    <t>Zootzen</t>
  </si>
  <si>
    <t>Criewen</t>
  </si>
  <si>
    <t>Treuenbrietzen</t>
  </si>
  <si>
    <t>Cabel</t>
  </si>
  <si>
    <t>Luckenwalde</t>
  </si>
  <si>
    <t>Rönnebeck</t>
  </si>
  <si>
    <t>Keller</t>
  </si>
  <si>
    <t>Steigra</t>
  </si>
  <si>
    <t>Seebeck</t>
  </si>
  <si>
    <t>Verwachsene Linden</t>
  </si>
  <si>
    <t>Löberitz</t>
  </si>
  <si>
    <t>Spitzahorn</t>
  </si>
  <si>
    <t>Ostrau</t>
  </si>
  <si>
    <t>Köthen</t>
  </si>
  <si>
    <t>Briesen</t>
  </si>
  <si>
    <t>Sumpfzypresse</t>
  </si>
  <si>
    <t>Ulme</t>
  </si>
  <si>
    <t>Motzen</t>
  </si>
  <si>
    <t>Wall</t>
  </si>
  <si>
    <t>Gussow</t>
  </si>
  <si>
    <t>Sommerfelde</t>
  </si>
  <si>
    <t>Stammruine</t>
  </si>
  <si>
    <t>Coschen</t>
  </si>
  <si>
    <t>über 500</t>
  </si>
  <si>
    <t>Kopfbaum</t>
  </si>
  <si>
    <t>Biesen</t>
  </si>
  <si>
    <t>Gülitz</t>
  </si>
  <si>
    <t>&gt;800</t>
  </si>
  <si>
    <t>Lietzen</t>
  </si>
  <si>
    <t>Weißdorn</t>
  </si>
  <si>
    <t>Tantow</t>
  </si>
  <si>
    <t>Weißer Maulbeerbaum</t>
  </si>
  <si>
    <t>Wildbirne</t>
  </si>
  <si>
    <t>120-150</t>
  </si>
  <si>
    <t>100-200</t>
  </si>
  <si>
    <t>Wulkow</t>
  </si>
  <si>
    <t>120-200</t>
  </si>
  <si>
    <t>Wildobst, 2stämmig</t>
  </si>
  <si>
    <t>Graustein</t>
  </si>
  <si>
    <t>Winterlinde</t>
  </si>
  <si>
    <t>evtl. Verwachsung zweier Bäume</t>
  </si>
  <si>
    <t>Golzow</t>
  </si>
  <si>
    <t>Harnekop</t>
  </si>
  <si>
    <t>Reichenberg</t>
  </si>
  <si>
    <t>Byhlen</t>
  </si>
  <si>
    <t>Weichendorf</t>
  </si>
  <si>
    <t>Grano</t>
  </si>
  <si>
    <t>Minimumwerte 7 Bm.</t>
  </si>
  <si>
    <t>Maximumwerte 7 Bm.</t>
  </si>
  <si>
    <t>Merzdorf</t>
  </si>
  <si>
    <t>Kreuzgrug</t>
  </si>
  <si>
    <t>Altplacht</t>
  </si>
  <si>
    <t>Jahnsfelde</t>
  </si>
  <si>
    <t>Grubo</t>
  </si>
  <si>
    <t>Hohenkuhnsdorf</t>
  </si>
  <si>
    <t>Zehdenick</t>
  </si>
  <si>
    <t>zurückgesetzt</t>
  </si>
  <si>
    <t>Osterne</t>
  </si>
  <si>
    <t>Frauenhagen</t>
  </si>
  <si>
    <t>Merz</t>
  </si>
  <si>
    <t>Fröhlich, Hans Joachim (1994): Wege zu alten Bäumen, Band 8 - Brandenburg. WDV Wirtschaftsdienst OHG Frankfurt, 237 S.</t>
  </si>
  <si>
    <t>Fröhlich, Hans Joachim (1993): Wege zu alten Bäumen, Band 5 - Niedersachsen. WDV Wirtschaftsdienst OHG Frankfurt, 199 S.</t>
  </si>
  <si>
    <t>Fröhlich, Hans Joachim (1994): Wege zu alten Bäumen, Band 9 - Mecklenburg-Vorpommern. WDV Wirtschaftsdienst OHG Frankfurt, 172 S.</t>
  </si>
  <si>
    <t>Fröhlich, Hans Joachim (1994): Wege zu alten Bäumen, Band 7 - Sachsen-Anhalt. WDV Wirtschaftsdienst OHG Frankfurt, 174 S.</t>
  </si>
  <si>
    <t>a1</t>
  </si>
  <si>
    <t>b1</t>
  </si>
  <si>
    <t>Formel</t>
  </si>
  <si>
    <t>BHD</t>
  </si>
  <si>
    <t>Tanne</t>
  </si>
  <si>
    <t>KrR [m]</t>
  </si>
  <si>
    <t>Fröhlich</t>
  </si>
  <si>
    <t xml:space="preserve">Tab. 2: Herleitung der Biomasseentzüge im Rahmen von Vor- und Endnutzungshieben in fm/ ha </t>
  </si>
  <si>
    <t>bzw. t/ ha (Kiefer, 125j. Umtrieb, II. Ekl. Wiedemann)</t>
  </si>
  <si>
    <t>siehe Original</t>
  </si>
  <si>
    <t xml:space="preserve">Tab. 3: Kumulative Biomasse und Bioelementmengen aus Vor- und Endnutzungshieben in t/ ha bzw. kg/ ha </t>
  </si>
  <si>
    <t xml:space="preserve">bei einer Umtriebszeit von 125 Jahren </t>
  </si>
  <si>
    <t>Jährlicher Eintrag 125j. Bestand Fuhrberg (im selben Waldort liegende Stoffbilanzfläche)</t>
  </si>
  <si>
    <t>Element</t>
  </si>
  <si>
    <t>Eintrag</t>
  </si>
  <si>
    <t>Silikatverwitterung</t>
  </si>
  <si>
    <t>Humusauflage</t>
  </si>
  <si>
    <t>Endnutzungsmasse</t>
  </si>
  <si>
    <t>Durchforstungsmasse</t>
  </si>
  <si>
    <t>Bodenvorrat (2m)</t>
  </si>
  <si>
    <t>Ca</t>
  </si>
  <si>
    <t>Mg</t>
  </si>
  <si>
    <t>Einheit</t>
  </si>
  <si>
    <t>kg/ ha*a</t>
  </si>
  <si>
    <t>kg/ ha</t>
  </si>
  <si>
    <t>Sickerwasseraustrag</t>
  </si>
  <si>
    <t>Biomasse (t/ ha)</t>
  </si>
  <si>
    <t>Ca (kg/ ha)</t>
  </si>
  <si>
    <t>Mg (kg/ ha)</t>
  </si>
  <si>
    <t>K (kg/ ha)</t>
  </si>
  <si>
    <t>P (kg/ ha)</t>
  </si>
  <si>
    <t>N (kg/ ha)</t>
  </si>
  <si>
    <t>VN</t>
  </si>
  <si>
    <t>EN</t>
  </si>
  <si>
    <t>Sum.</t>
  </si>
  <si>
    <t>Schaftrinde u. -holz</t>
  </si>
  <si>
    <t>.0.1</t>
  </si>
  <si>
    <t>Quelle: Kallweit, R. (2002): Biomasseuntersuchungen an Level II-Kiefernstandorten in Brandenburg. In: Forstliche Forschungsberichte München, Nr. 186/ 2002, Inventur von Biomasse- und Nährstoffvorräten in Waldbeständen. S. 49</t>
  </si>
  <si>
    <t>Baum-Nr.</t>
  </si>
  <si>
    <t>Tab. 1 (Auszug): Nadelmassen von drei Kiefernkronen Frühjahr 2000 an der Level II-Fläche 1201 im Vergleich zu Schätztafelerwartungswerten</t>
  </si>
  <si>
    <t>Nadelmasse [gTS]</t>
  </si>
  <si>
    <t>Grundfläche in % v. Mittelstamm</t>
  </si>
  <si>
    <t>Volumen in % v. Mittelstamm</t>
  </si>
  <si>
    <t>Kiefernbestand Brandenburg</t>
  </si>
  <si>
    <t>Location</t>
  </si>
  <si>
    <t>near Uglich, Yaroslavl province/ Russia</t>
  </si>
  <si>
    <t>57° 47' N, 38° 31' E, altitude 150 m</t>
  </si>
  <si>
    <t>sandy podzol, water table at 2 meters depth</t>
  </si>
  <si>
    <t>mean annual precipitation 750 mm</t>
  </si>
  <si>
    <t>scots pine = even-aged and planted stand, 49 years old in 1979</t>
  </si>
  <si>
    <t>birch = even-aged naturally regenerated stand, 49 years old in 1979</t>
  </si>
  <si>
    <t>Table 1:</t>
  </si>
  <si>
    <t>Mean daily penetration of incoming shortwave radiation</t>
  </si>
  <si>
    <t>Table 7: (Auszug)</t>
  </si>
  <si>
    <t>Percent penetration of incoming PAR, LAI and extinction coefficients for Scots pine and birch canopy layers</t>
  </si>
  <si>
    <t>and whole canopies, and for 2-year-old Scots pine shoots and birch leaves in three canopy layers</t>
  </si>
  <si>
    <t>Birch stand</t>
  </si>
  <si>
    <t>Penetration PAR (%)</t>
  </si>
  <si>
    <t>LAI</t>
  </si>
  <si>
    <t>Extinction coefficient</t>
  </si>
  <si>
    <t>Canopy layer</t>
  </si>
  <si>
    <t>upper</t>
  </si>
  <si>
    <t>middle</t>
  </si>
  <si>
    <t>lower</t>
  </si>
  <si>
    <t>Total canopy</t>
  </si>
  <si>
    <t>Shoots/ leaves</t>
  </si>
  <si>
    <t>Table 8: (Auszug)</t>
  </si>
  <si>
    <t xml:space="preserve">Photosynthetic utilization efficiency of absorbed PAR (J KJ-1) for ... of ... Birch stands in three canopy layers determined on </t>
  </si>
  <si>
    <t>a sunny day, a cloudy day, and for the whole growing season (from MOLCHANOV 1983)</t>
  </si>
  <si>
    <t>Gesamtzusammenstellung Blattmasse-Höhen-Beziehungen Kiefer ohne Cannell</t>
  </si>
  <si>
    <t>Zusammenstellung Kronenradienwerte Kiefer (Pinus sylvestris)</t>
  </si>
  <si>
    <t>Social tree-class</t>
  </si>
  <si>
    <t>Birch</t>
  </si>
  <si>
    <t>All leaves</t>
  </si>
  <si>
    <t>Sunny day (July 1, 1975)</t>
  </si>
  <si>
    <t>whole canopy</t>
  </si>
  <si>
    <t>Cloudy day (July 4, 1975)</t>
  </si>
  <si>
    <t>Growing season</t>
  </si>
  <si>
    <t>Table 9: (Auszug)</t>
  </si>
  <si>
    <t>Nighttime respiration rates estimated for ... birch foliage in three canopy layers and for the whole canopies ... (from MOLCHANOV 1983)</t>
  </si>
  <si>
    <t>Birch leaves</t>
  </si>
  <si>
    <t>April</t>
  </si>
  <si>
    <t>May</t>
  </si>
  <si>
    <t>June</t>
  </si>
  <si>
    <t>July</t>
  </si>
  <si>
    <t>August</t>
  </si>
  <si>
    <t>September</t>
  </si>
  <si>
    <t>October</t>
  </si>
  <si>
    <t>Growing season total</t>
  </si>
  <si>
    <t>Source:</t>
  </si>
  <si>
    <t>Molchanov, Alexander G. (2000): Photosynthetic utilization eficiency of absorbed photosynthetically active radiation by Scots pine and birch forest stands in the southern Taiga. Tree Physiology 20, 1137-1148</t>
  </si>
  <si>
    <r>
      <t>Night respiration (kg CO</t>
    </r>
    <r>
      <rPr>
        <vertAlign val="subscript"/>
        <sz val="10"/>
        <rFont val="MS Sans Serif"/>
        <family val="2"/>
      </rPr>
      <t>2</t>
    </r>
    <r>
      <rPr>
        <sz val="10"/>
        <rFont val="MS Sans Serif"/>
        <family val="2"/>
      </rPr>
      <t xml:space="preserve"> ha</t>
    </r>
    <r>
      <rPr>
        <vertAlign val="superscript"/>
        <sz val="10"/>
        <rFont val="MS Sans Serif"/>
        <family val="2"/>
      </rPr>
      <t>-1</t>
    </r>
    <r>
      <rPr>
        <sz val="10"/>
        <rFont val="MS Sans Serif"/>
        <family val="2"/>
      </rPr>
      <t>month</t>
    </r>
    <r>
      <rPr>
        <vertAlign val="superscript"/>
        <sz val="10"/>
        <rFont val="MS Sans Serif"/>
        <family val="2"/>
      </rPr>
      <t>-1</t>
    </r>
    <r>
      <rPr>
        <sz val="10"/>
        <rFont val="MS Sans Serif"/>
        <family val="2"/>
      </rPr>
      <t>)</t>
    </r>
  </si>
  <si>
    <t>Charakteristika</t>
  </si>
  <si>
    <t>23jähriger Douglasienmischbestand (1974), 14-17 m hoch, mittlerer Durchmesser 15 cm, über 1. Bonität</t>
  </si>
  <si>
    <t>bearbeitbar: mehrere Douglasien, 3 Kiefern, 1 Buche, 2 Birken</t>
  </si>
  <si>
    <t>südexponierter Südhang im Scharzwald, Uhlberg bei Freiburg, 585 m ü.NN</t>
  </si>
  <si>
    <t>Boden: lehmig-grusige Braunerde aus Paragneis und Metatexit</t>
  </si>
  <si>
    <t>ca. 1200 mm JNS und 8,4 °C JDT</t>
  </si>
  <si>
    <t>Mai</t>
  </si>
  <si>
    <t>Juni</t>
  </si>
  <si>
    <t>Juli</t>
  </si>
  <si>
    <t>Aug.</t>
  </si>
  <si>
    <t>Sept.</t>
  </si>
  <si>
    <t>Okt.</t>
  </si>
  <si>
    <t>Nov.</t>
  </si>
  <si>
    <t>Douglasie</t>
  </si>
  <si>
    <t>Kiefer</t>
  </si>
  <si>
    <t>Rotbuche</t>
  </si>
  <si>
    <t>Birke</t>
  </si>
  <si>
    <t>verschiedene Abbildungen zu Jahres- und Tagesgängen der Photosynthese in Abhängigkeit von der Temperatur, Luftfeuchte etc.</t>
  </si>
  <si>
    <t>Tab. 10</t>
  </si>
  <si>
    <t>bei einer Freiland-Beleuchtungsstärke von 25-75 klx und 40-79% rel. Luftfeuchte im Jahr 1972</t>
  </si>
  <si>
    <t xml:space="preserve">Juli </t>
  </si>
  <si>
    <t>Beleuchtungsstärke</t>
  </si>
  <si>
    <t>Lichtkrone mg</t>
  </si>
  <si>
    <t>Schattkrone mg</t>
  </si>
  <si>
    <t>Schatt- in % der Lichtkrone</t>
  </si>
  <si>
    <t>Beleuchtungsstärke im Vergleich zum Freiland</t>
  </si>
  <si>
    <t>Buche</t>
  </si>
  <si>
    <t xml:space="preserve">  (da Schattenblätter zuerst Austrieb im Frühjahr)</t>
  </si>
  <si>
    <t>(negativer Wert = Atmung)</t>
  </si>
  <si>
    <t>Tab. 12</t>
  </si>
  <si>
    <t>Transpirationswerte für 1-3jährige Douglasientriebe</t>
  </si>
  <si>
    <t>Tab. 14</t>
  </si>
  <si>
    <t>(Messung 1971)</t>
  </si>
  <si>
    <t>Oktober</t>
  </si>
  <si>
    <t>Lufttemperatur in °C</t>
  </si>
  <si>
    <t>mittlerer Wert</t>
  </si>
  <si>
    <t>Mai bis Oktober 1971</t>
  </si>
  <si>
    <t>Abb. 21</t>
  </si>
  <si>
    <t>Transpiration am Tage von 1jährigen Trieben der Lichtkrone in Abhängigkeit von der Lufttemperatur und dem Sättigungsdefizit der Luft</t>
  </si>
  <si>
    <t>(einscannen?)</t>
  </si>
  <si>
    <t>Tab. 16</t>
  </si>
  <si>
    <t>Unter dem Monat ist die Beleuchtungsstärke bei der Messung der Schattriebe in Prozenten derjenigen der Lichttriebe angegeben</t>
  </si>
  <si>
    <t>im Mai Schattblätter schon mehr entfaltet</t>
  </si>
  <si>
    <t>Abb. 24</t>
  </si>
  <si>
    <t>Verhältnis von Transpiration am Tage zu der Photosynthese von 1jährigen Trieben in der Lichtkrone</t>
  </si>
  <si>
    <t>g H2O/ g CO2</t>
  </si>
  <si>
    <t>Abb. 25</t>
  </si>
  <si>
    <t>Tab. 21</t>
  </si>
  <si>
    <t>mg CO2 / g TS * h</t>
  </si>
  <si>
    <t>=</t>
  </si>
  <si>
    <t>Abb. 26</t>
  </si>
  <si>
    <t>Tab. 22</t>
  </si>
  <si>
    <t>bei Lufttemperaturen von 15-20°C im Jahr 1972</t>
  </si>
  <si>
    <t>mehrjährige Triebe anderen Gang !</t>
  </si>
  <si>
    <t>(Tab. 20)</t>
  </si>
  <si>
    <t>Tab. 25</t>
  </si>
  <si>
    <t>1973/4</t>
  </si>
  <si>
    <t>1. Meßserie (Messung am gleichen Baum in verschiedener Höhe)</t>
  </si>
  <si>
    <t>Durchmesser in cm:</t>
  </si>
  <si>
    <t>i.D.</t>
  </si>
  <si>
    <t>2. Meßserie (Messung an verschiedenen Bäumen in 1,3 m Höhe)</t>
  </si>
  <si>
    <t>Tab. 28</t>
  </si>
  <si>
    <t>Jahresgang der Stammatmung im Durchschnitt aller Durchmesser (Monatswerte April bis Sept.)</t>
  </si>
  <si>
    <t>Abb. 34</t>
  </si>
  <si>
    <t>Ausgleichskurven Photosynthese Kiefer und Douglasie</t>
  </si>
  <si>
    <t>Verteilung auf Nadeljahrgänge in % des Nadelgewichts (Gesamtbaum)</t>
  </si>
  <si>
    <t>1-</t>
  </si>
  <si>
    <t>2-</t>
  </si>
  <si>
    <t>3-</t>
  </si>
  <si>
    <t>4- und mehrjährige Triebe</t>
  </si>
  <si>
    <t>Abb. 35</t>
  </si>
  <si>
    <t>Tab. 29</t>
  </si>
  <si>
    <t>Überschlagszahlen !</t>
  </si>
  <si>
    <t>1. Douglasie</t>
  </si>
  <si>
    <t>Nadelalter</t>
  </si>
  <si>
    <t>Monat</t>
  </si>
  <si>
    <t>Nadelanteil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</si>
  <si>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</si>
  <si>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</si>
  <si>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</si>
  <si>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</si>
  <si>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</si>
  <si>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</si>
  <si>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</si>
  <si>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</si>
  <si>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</si>
  <si>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</si>
  <si>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in %</t>
  </si>
  <si>
    <t>Tagessumme in mg CO2/ g TS</t>
  </si>
  <si>
    <t>1jährig</t>
  </si>
  <si>
    <t>2jährig</t>
  </si>
  <si>
    <t>3jährig</t>
  </si>
  <si>
    <t>4- und mehrjährig</t>
  </si>
  <si>
    <t>Tage je Monat</t>
  </si>
  <si>
    <t>Photosynthese je Monat</t>
  </si>
  <si>
    <t>mg CO2/ g TS * Monat</t>
  </si>
  <si>
    <t>Summe Jahr</t>
  </si>
  <si>
    <t>Lichtkrone Südseite</t>
  </si>
  <si>
    <t>g CO2/ g TS * a</t>
  </si>
  <si>
    <t>x 0,77 =</t>
  </si>
  <si>
    <t>Lichtkrone Nordseite</t>
  </si>
  <si>
    <t>Lichtkrone</t>
  </si>
  <si>
    <t>x 0,2 =</t>
  </si>
  <si>
    <t>Schattkrone</t>
  </si>
  <si>
    <t>2. Kiefer</t>
  </si>
  <si>
    <t>4-jährig</t>
  </si>
  <si>
    <t>x 0,75 =</t>
  </si>
  <si>
    <t>x 0,23 =</t>
  </si>
  <si>
    <t>3. Buche</t>
  </si>
  <si>
    <t>a) Lichtkrone Süd</t>
  </si>
  <si>
    <t>mg CO2/ g TS * d</t>
  </si>
  <si>
    <t>a) Schattkrone</t>
  </si>
  <si>
    <t>4. Birke</t>
  </si>
  <si>
    <t>x 0,76 =</t>
  </si>
  <si>
    <t>Negativwerte = Atmung der vergilbten Blätter</t>
  </si>
  <si>
    <t>Tab. 30</t>
  </si>
  <si>
    <t>Anzahl der Probebäume</t>
  </si>
  <si>
    <t>Höhe m</t>
  </si>
  <si>
    <t>Durchmesser cm</t>
  </si>
  <si>
    <t>Schaftoberfläche dm2</t>
  </si>
  <si>
    <t>Astoberfläche dm2</t>
  </si>
  <si>
    <t>Laub- bzw. Nadelgewicht kg TS</t>
  </si>
  <si>
    <t>Stammzahl je ha Stück</t>
  </si>
  <si>
    <t>Tab. 31</t>
  </si>
  <si>
    <t>Nadel- bzw. Blattmasse kg</t>
  </si>
  <si>
    <t>Nettophotosynthese g CO2/ g TS * a</t>
  </si>
  <si>
    <t>Nettophotosynthese kg CO2/ Baum * a</t>
  </si>
  <si>
    <t>Unterkrone</t>
  </si>
  <si>
    <t>Tab. 32</t>
  </si>
  <si>
    <t>Netto-Photosynthese je ha und Jahr</t>
  </si>
  <si>
    <t>Tab. 34</t>
  </si>
  <si>
    <t>Tab. 36</t>
  </si>
  <si>
    <t>Nadeln und Laub</t>
  </si>
  <si>
    <t>für überdurchschnittl. zuwachskräftigen,</t>
  </si>
  <si>
    <t>Astzuwachs</t>
  </si>
  <si>
    <t xml:space="preserve"> ca. 23jährigen Bestand !</t>
  </si>
  <si>
    <t>Wurzelzuwachs und -atmung</t>
  </si>
  <si>
    <t>Tab. 37-40</t>
  </si>
  <si>
    <t>entsprechend wie für Photosynthese Berechnung für Transpiration Jahr der 4 Baumarten</t>
  </si>
  <si>
    <t>Quellen:</t>
  </si>
  <si>
    <t>KÜNSTLE, E. UND MITSCHERLICH, G. 1975: Photosynthese, Transpiration und Atmung in einem Mischbestand im Schwarzwald. I. Photosynthese. Allg. Forst- und Jagdztg. 146: 45-63</t>
  </si>
  <si>
    <t>KÜNSTLE, E. UND MITSCHERLICH, G. 1975: Photosynthese, Transpiration und Atmung in einem Mischbestand im Schwarzwald. II. Transpiration. Allg. Forst- und Jagdztg. 146: 88-100</t>
  </si>
  <si>
    <t>KÜNSTLE, E. UND MITSCHERLICH, G. 1976: Photosynthese, Transpiration und Atmung in einem Mischbestand im Schwarzwald. III. Atmung. Allg. Forst- und Jagdztg. 147: 169-177</t>
  </si>
  <si>
    <t>KÜNSTLE, E. UND MITSCHERLICH, G. 1977: Photosynthese, Transpiration und Atmung in einem Mischbestand im Schwarzwald. IV. Bilanz. Allg. Forst- und Jagdztg. 148: 227-239</t>
  </si>
  <si>
    <r>
      <t>Nadel- bzw. Blattoberfläche</t>
    </r>
    <r>
      <rPr>
        <sz val="10"/>
        <rFont val="MS Sans Serif"/>
        <family val="2"/>
      </rPr>
      <t xml:space="preserve"> in dm</t>
    </r>
    <r>
      <rPr>
        <vertAlign val="superscript"/>
        <sz val="10"/>
        <rFont val="MS Sans Serif"/>
        <family val="2"/>
      </rPr>
      <t>2</t>
    </r>
    <r>
      <rPr>
        <sz val="10"/>
        <rFont val="MS Sans Serif"/>
        <family val="2"/>
      </rPr>
      <t xml:space="preserve"> je g TS. Messung an 1jährigen Nadeln bzw. Blättern in der Lichtkrone im Jahre 1971</t>
    </r>
  </si>
  <si>
    <r>
      <t xml:space="preserve">Bsp. </t>
    </r>
    <r>
      <rPr>
        <b/>
        <sz val="10"/>
        <rFont val="MS Sans Serif"/>
        <family val="2"/>
      </rPr>
      <t>Abb. 9 und 10</t>
    </r>
    <r>
      <rPr>
        <sz val="10"/>
        <rFont val="MS Sans Serif"/>
        <family val="2"/>
      </rPr>
      <t xml:space="preserve"> für Photosynthese und</t>
    </r>
    <r>
      <rPr>
        <b/>
        <sz val="10"/>
        <rFont val="MS Sans Serif"/>
        <family val="2"/>
      </rPr>
      <t xml:space="preserve"> Abb. 17 und 18</t>
    </r>
    <r>
      <rPr>
        <sz val="10"/>
        <rFont val="MS Sans Serif"/>
        <family val="2"/>
      </rPr>
      <t xml:space="preserve"> für Transpiration</t>
    </r>
  </si>
  <si>
    <r>
      <t>Netto-Photosynthese</t>
    </r>
    <r>
      <rPr>
        <sz val="10"/>
        <rFont val="MS Sans Serif"/>
        <family val="2"/>
      </rPr>
      <t xml:space="preserve"> in mg CO</t>
    </r>
    <r>
      <rPr>
        <vertAlign val="subscript"/>
        <sz val="10"/>
        <rFont val="MS Sans Serif"/>
        <family val="2"/>
      </rPr>
      <t>2</t>
    </r>
    <r>
      <rPr>
        <sz val="10"/>
        <rFont val="MS Sans Serif"/>
        <family val="2"/>
      </rPr>
      <t xml:space="preserve">/ g TS * h von 1jährigen Trieben aus der Lichtkrone und 1- und mehrjährigen aus der Schattkrone </t>
    </r>
  </si>
  <si>
    <r>
      <t>Nacht-Transpiration</t>
    </r>
    <r>
      <rPr>
        <sz val="10"/>
        <rFont val="MS Sans Serif"/>
        <family val="2"/>
      </rPr>
      <t xml:space="preserve"> in mg H2O / g TS * h 1jähriger Triebe der Lichtkrone in Abhängigkeit von der Lufttemperatur bei 40-79% rel. Luftfeuchte</t>
    </r>
  </si>
  <si>
    <r>
      <t>Transpiration</t>
    </r>
    <r>
      <rPr>
        <sz val="10"/>
        <rFont val="MS Sans Serif"/>
        <family val="2"/>
      </rPr>
      <t xml:space="preserve"> am Tage in mg H</t>
    </r>
    <r>
      <rPr>
        <vertAlign val="subscript"/>
        <sz val="10"/>
        <rFont val="MS Sans Serif"/>
        <family val="2"/>
      </rPr>
      <t>2</t>
    </r>
    <r>
      <rPr>
        <sz val="10"/>
        <rFont val="MS Sans Serif"/>
        <family val="2"/>
      </rPr>
      <t xml:space="preserve">O/ g TS * h von 1jährigen Trieben aus der Lichtkrone und 1- und mehrjährigen aus der Schattkrone </t>
    </r>
  </si>
  <si>
    <r>
      <t>Dunkel- und Nachtatmung in der Licht- und Schattenkrone in mg CO</t>
    </r>
    <r>
      <rPr>
        <vertAlign val="subscript"/>
        <sz val="10"/>
        <rFont val="MS Sans Serif"/>
        <family val="2"/>
      </rPr>
      <t>2</t>
    </r>
    <r>
      <rPr>
        <sz val="10"/>
        <rFont val="MS Sans Serif"/>
        <family val="2"/>
      </rPr>
      <t xml:space="preserve"> / g TS * h</t>
    </r>
  </si>
  <si>
    <r>
      <t>Durchschnittliche Nachtatmung</t>
    </r>
    <r>
      <rPr>
        <sz val="10"/>
        <rFont val="MS Sans Serif"/>
        <family val="2"/>
      </rPr>
      <t xml:space="preserve"> einjähriger Triebe Juni - Oktober 1971</t>
    </r>
  </si>
  <si>
    <r>
      <t>mg CO</t>
    </r>
    <r>
      <rPr>
        <vertAlign val="subscript"/>
        <sz val="10"/>
        <rFont val="MS Sans Serif"/>
        <family val="2"/>
      </rPr>
      <t>2</t>
    </r>
    <r>
      <rPr>
        <sz val="10"/>
        <rFont val="MS Sans Serif"/>
        <family val="2"/>
      </rPr>
      <t xml:space="preserve"> / dm</t>
    </r>
    <r>
      <rPr>
        <vertAlign val="superscript"/>
        <sz val="10"/>
        <rFont val="MS Sans Serif"/>
        <family val="2"/>
      </rPr>
      <t>2</t>
    </r>
    <r>
      <rPr>
        <sz val="10"/>
        <rFont val="MS Sans Serif"/>
        <family val="2"/>
      </rPr>
      <t xml:space="preserve"> * h</t>
    </r>
  </si>
  <si>
    <r>
      <t>Nachtatmung</t>
    </r>
    <r>
      <rPr>
        <sz val="10"/>
        <rFont val="MS Sans Serif"/>
        <family val="2"/>
      </rPr>
      <t xml:space="preserve"> im Jahresgang</t>
    </r>
  </si>
  <si>
    <r>
      <t>Nachtatmung</t>
    </r>
    <r>
      <rPr>
        <sz val="10"/>
        <rFont val="MS Sans Serif"/>
        <family val="2"/>
      </rPr>
      <t xml:space="preserve"> in mg H</t>
    </r>
    <r>
      <rPr>
        <vertAlign val="subscript"/>
        <sz val="10"/>
        <rFont val="MS Sans Serif"/>
        <family val="2"/>
      </rPr>
      <t>2</t>
    </r>
    <r>
      <rPr>
        <sz val="10"/>
        <rFont val="MS Sans Serif"/>
        <family val="2"/>
      </rPr>
      <t xml:space="preserve">O/ g TS * h von 1jährigen Trieben aus der Lichtkrone und 1- und mehrjährigen aus der Schattkrone </t>
    </r>
  </si>
  <si>
    <r>
      <t>Durchschnittliche Stammatmung</t>
    </r>
    <r>
      <rPr>
        <sz val="10"/>
        <rFont val="MS Sans Serif"/>
        <family val="2"/>
      </rPr>
      <t xml:space="preserve"> in mg CO</t>
    </r>
    <r>
      <rPr>
        <vertAlign val="subscript"/>
        <sz val="10"/>
        <rFont val="MS Sans Serif"/>
        <family val="2"/>
      </rPr>
      <t>2</t>
    </r>
    <r>
      <rPr>
        <sz val="10"/>
        <rFont val="MS Sans Serif"/>
        <family val="2"/>
      </rPr>
      <t xml:space="preserve"> / dm</t>
    </r>
    <r>
      <rPr>
        <vertAlign val="superscript"/>
        <sz val="10"/>
        <rFont val="MS Sans Serif"/>
        <family val="2"/>
      </rPr>
      <t>2</t>
    </r>
    <r>
      <rPr>
        <sz val="10"/>
        <rFont val="MS Sans Serif"/>
        <family val="2"/>
      </rPr>
      <t xml:space="preserve"> * h</t>
    </r>
  </si>
  <si>
    <t>branches/root estimate</t>
  </si>
  <si>
    <t>branches as fraction of total</t>
  </si>
  <si>
    <r>
      <t>Tageswerte Photosynthese</t>
    </r>
    <r>
      <rPr>
        <sz val="10"/>
        <rFont val="MS Sans Serif"/>
        <family val="2"/>
      </rPr>
      <t xml:space="preserve"> Lichtkrone in mg CO</t>
    </r>
    <r>
      <rPr>
        <vertAlign val="subscript"/>
        <sz val="10"/>
        <rFont val="MS Sans Serif"/>
        <family val="2"/>
      </rPr>
      <t>2</t>
    </r>
    <r>
      <rPr>
        <sz val="10"/>
        <rFont val="MS Sans Serif"/>
        <family val="2"/>
      </rPr>
      <t xml:space="preserve"> / g TS * d</t>
    </r>
  </si>
  <si>
    <r>
      <t xml:space="preserve">Berechnung der </t>
    </r>
    <r>
      <rPr>
        <b/>
        <sz val="10"/>
        <rFont val="MS Sans Serif"/>
        <family val="2"/>
      </rPr>
      <t>jährlichen Nettophotosynthese</t>
    </r>
    <r>
      <rPr>
        <sz val="10"/>
        <rFont val="MS Sans Serif"/>
        <family val="2"/>
      </rPr>
      <t xml:space="preserve"> in der Licht- und Schattkrone</t>
    </r>
  </si>
  <si>
    <r>
      <t xml:space="preserve">Ergebnis der </t>
    </r>
    <r>
      <rPr>
        <b/>
        <sz val="10"/>
        <rFont val="MS Sans Serif"/>
        <family val="2"/>
      </rPr>
      <t>Probestamm</t>
    </r>
    <r>
      <rPr>
        <sz val="10"/>
        <rFont val="MS Sans Serif"/>
        <family val="2"/>
      </rPr>
      <t>untersuchungen vom Sept. 1972</t>
    </r>
  </si>
  <si>
    <r>
      <t>Nadel- bzw. Blattmasse</t>
    </r>
    <r>
      <rPr>
        <sz val="10"/>
        <rFont val="MS Sans Serif"/>
        <family val="2"/>
      </rPr>
      <t xml:space="preserve"> in der Licht- und Schattkrone </t>
    </r>
    <r>
      <rPr>
        <b/>
        <sz val="10"/>
        <rFont val="MS Sans Serif"/>
        <family val="2"/>
      </rPr>
      <t>und Photosynthesegewinn</t>
    </r>
    <r>
      <rPr>
        <sz val="10"/>
        <rFont val="MS Sans Serif"/>
        <family val="2"/>
      </rPr>
      <t xml:space="preserve"> je Baum und Jahr</t>
    </r>
  </si>
  <si>
    <r>
      <t>Abzug der Stamm- und Astatmung vo</t>
    </r>
    <r>
      <rPr>
        <sz val="10"/>
        <rFont val="MS Sans Serif"/>
        <family val="2"/>
      </rPr>
      <t>n der Netto-Photosynthese und Umrechnung in Biomasse</t>
    </r>
  </si>
  <si>
    <r>
      <t>Schätzungsweise</t>
    </r>
    <r>
      <rPr>
        <b/>
        <sz val="10"/>
        <rFont val="MS Sans Serif"/>
        <family val="2"/>
      </rPr>
      <t xml:space="preserve"> Aufgliederung der Produktion an Biomasse</t>
    </r>
    <r>
      <rPr>
        <sz val="10"/>
        <rFont val="MS Sans Serif"/>
        <family val="2"/>
      </rPr>
      <t xml:space="preserve"> in Reinbeständen auf die verschiedenen Kompartimente in t/ ha * a</t>
    </r>
  </si>
  <si>
    <t>Species</t>
  </si>
  <si>
    <t xml:space="preserve">Age </t>
  </si>
  <si>
    <t>Trees/ha</t>
  </si>
  <si>
    <t>Tree height</t>
  </si>
  <si>
    <t>Basal area</t>
  </si>
  <si>
    <t>Stem volume</t>
  </si>
  <si>
    <t>Stem wood</t>
  </si>
  <si>
    <t>Stem bark</t>
  </si>
  <si>
    <t>Branches</t>
  </si>
  <si>
    <t>Fruits</t>
  </si>
  <si>
    <t>Foliage</t>
  </si>
  <si>
    <t>Root estimate</t>
  </si>
  <si>
    <t>CAI</t>
  </si>
  <si>
    <t>Soil</t>
  </si>
  <si>
    <t>Stand location</t>
  </si>
  <si>
    <t>[years]</t>
  </si>
  <si>
    <t>[m² / ha]</t>
  </si>
  <si>
    <t>[one-sided]</t>
  </si>
  <si>
    <t>[m³ / ha]</t>
  </si>
  <si>
    <t>dry biomass [t / ha]</t>
  </si>
  <si>
    <t>Net production [m³ / ha / yr]</t>
  </si>
  <si>
    <t>Pinus sylvestris</t>
  </si>
  <si>
    <t>Podzols with 2 cm humus layer. Fine or coarse sands with stones.</t>
  </si>
  <si>
    <t>60°31' to 61°40'N 23°51 to 24°19'E 125-140 m Finland, Tammela.</t>
  </si>
  <si>
    <t>Poland ca. 52°N 20°E -- near Warsaw</t>
  </si>
  <si>
    <t>At Kampinos: podzol, pH 3.7-4.7</t>
  </si>
  <si>
    <t>Poland 52°20'N 20°50'E 105 m Kampinos National Park</t>
  </si>
  <si>
    <t>17-19</t>
  </si>
  <si>
    <t>Well-drained soil overlying calcareous  conglomerate</t>
  </si>
  <si>
    <t>42°30'N 0°40'W 1230 m Spain, San Juan de las Pena, near Jaca</t>
  </si>
  <si>
    <t>Plantation. Gravelly, sandy, iron podzol.</t>
  </si>
  <si>
    <t>60°20'N 17°13'E 10 m Sweden, Lisselbo</t>
  </si>
  <si>
    <t xml:space="preserve">       </t>
  </si>
  <si>
    <t>Pinus sylvestris (99%) with Picea abies et al.</t>
  </si>
  <si>
    <t>Sandy, iron podzol.</t>
  </si>
  <si>
    <t>60°48-51'N 16°25-31'E 170-205 m Sweden, Jädraas.</t>
  </si>
  <si>
    <t>Pinus sylvestris (100%) with Picea abies et al.</t>
  </si>
  <si>
    <t>Pinus sylvestris (97%) with Picea abies et al.</t>
  </si>
  <si>
    <t>60°50-52'N 16°25-35'E 185-205 m Sweden, Jädraas</t>
  </si>
  <si>
    <t>Plantations. Poor aolian sand dunes</t>
  </si>
  <si>
    <t>57°39'N 3°40'W 10 m U.K., Scotland, Morayshire, culbin Forest.</t>
  </si>
  <si>
    <t>Sandy soils.</t>
  </si>
  <si>
    <t>52°30'N 1°53'E 50 m U.K., England, Thetford Chase</t>
  </si>
  <si>
    <t>Plantation. Moderately drained heavy clay.</t>
  </si>
  <si>
    <t>55°30'N 2°40'W 168 m U.K., Scotland, near Jedburgh.</t>
  </si>
  <si>
    <t>Peaty humus podzol.</t>
  </si>
  <si>
    <t>U.S.S.R. ca 68°N 34°E Kola Peninsula</t>
  </si>
  <si>
    <t>Good site.</t>
  </si>
  <si>
    <t>U.S.S.R. ca 54°N 45°E Mordovskaya ASSR</t>
  </si>
  <si>
    <t>Upland moss bog.</t>
  </si>
  <si>
    <t>U.S.S.R. ca 59°N 77°E Vasyuganye swamp, W. Siberia.</t>
  </si>
  <si>
    <t>World Forest Biomass and Primary Production Data, Cannell, M.G.R., Academic Press, London, 1982, pages 63, 214, 221, 226, 227, 228, 243, 244, 245, 369</t>
  </si>
  <si>
    <t>siehe Kopien der entsprechenden Seiten aus Cannell</t>
  </si>
  <si>
    <t>für Jungpflanzen siehe Lyr, Hoffm. und Engel !!</t>
  </si>
  <si>
    <r>
      <t>Pinus sylvestris,</t>
    </r>
    <r>
      <rPr>
        <sz val="9"/>
        <rFont val="Arial"/>
        <family val="2"/>
      </rPr>
      <t xml:space="preserve"> with</t>
    </r>
    <r>
      <rPr>
        <i/>
        <sz val="9"/>
        <rFont val="Arial"/>
        <family val="2"/>
      </rPr>
      <t xml:space="preserve"> Quercus robur </t>
    </r>
    <r>
      <rPr>
        <sz val="9"/>
        <rFont val="Arial"/>
        <family val="2"/>
      </rPr>
      <t>and</t>
    </r>
    <r>
      <rPr>
        <i/>
        <sz val="9"/>
        <rFont val="Arial"/>
        <family val="2"/>
      </rPr>
      <t xml:space="preserve"> Betula verrucosa</t>
    </r>
  </si>
  <si>
    <r>
      <t xml:space="preserve">Pinus sylvestris </t>
    </r>
    <r>
      <rPr>
        <sz val="9"/>
        <rFont val="Arial"/>
        <family val="2"/>
      </rPr>
      <t>with an understorey of</t>
    </r>
    <r>
      <rPr>
        <i/>
        <sz val="9"/>
        <rFont val="Arial"/>
        <family val="2"/>
      </rPr>
      <t xml:space="preserve"> Ilex aquifoilum</t>
    </r>
  </si>
  <si>
    <r>
      <t xml:space="preserve">Pinus sylvestris </t>
    </r>
    <r>
      <rPr>
        <sz val="9"/>
        <rFont val="Arial"/>
        <family val="2"/>
      </rPr>
      <t>(60%)</t>
    </r>
    <r>
      <rPr>
        <i/>
        <sz val="9"/>
        <rFont val="Arial"/>
        <family val="2"/>
      </rPr>
      <t xml:space="preserve">, Betula </t>
    </r>
    <r>
      <rPr>
        <sz val="9"/>
        <rFont val="Arial"/>
        <family val="2"/>
      </rPr>
      <t xml:space="preserve">spp. and </t>
    </r>
    <r>
      <rPr>
        <i/>
        <sz val="9"/>
        <rFont val="Arial"/>
        <family val="2"/>
      </rPr>
      <t>Picea abies</t>
    </r>
  </si>
  <si>
    <t>Mixed stands of birch (Betula pendula and pubescens), Norway spruce and Scots pine</t>
  </si>
  <si>
    <t>high stand densities over 10.000 stems/ ha</t>
  </si>
  <si>
    <t>DBH between 1 and 10 cm</t>
  </si>
  <si>
    <t>Characteristics of studied stands</t>
  </si>
  <si>
    <t>Renfors</t>
  </si>
  <si>
    <t>Degerön</t>
  </si>
  <si>
    <t>Kulbäcksliden</t>
  </si>
  <si>
    <t>Gagnet</t>
  </si>
  <si>
    <t>Lillarmsjö</t>
  </si>
  <si>
    <t>Unbyn</t>
  </si>
  <si>
    <t>Altitude (m a.s.l.)</t>
  </si>
  <si>
    <t>H100 (m), site index dominant height at 100 yrs of age) for Scots pine</t>
  </si>
  <si>
    <t>Latitude (°N)</t>
  </si>
  <si>
    <t>Scots pine</t>
  </si>
  <si>
    <t>Norway spruce</t>
  </si>
  <si>
    <t>Total</t>
  </si>
  <si>
    <t>Mean and range of independent and dependent variables</t>
  </si>
  <si>
    <t>Min.</t>
  </si>
  <si>
    <t>Max.</t>
  </si>
  <si>
    <t>DBH (cm)</t>
  </si>
  <si>
    <t>H (dm)</t>
  </si>
  <si>
    <t>LCH (dm) = heigth to the living crown</t>
  </si>
  <si>
    <t>CL (dm) = crown length</t>
  </si>
  <si>
    <t>CR = ration of crown lenght and tree height</t>
  </si>
  <si>
    <t>Dry weight (g)</t>
  </si>
  <si>
    <t>Dead branches</t>
  </si>
  <si>
    <t>Claesson, Svante, Sahlen, Kenneth and Lundmark, Thomas (2001): Functions for Biomass Estimation of Young Pinus sylvestris, Picea abies and Betula ssp. From Stands in Northern Sweden with High Stand Densities. Scand. J. For. Res. 16, 138-146</t>
  </si>
  <si>
    <r>
      <t>No. of stems (st ha</t>
    </r>
    <r>
      <rPr>
        <vertAlign val="superscript"/>
        <sz val="10"/>
        <rFont val="MS Sans Serif"/>
        <family val="2"/>
      </rPr>
      <t>-1</t>
    </r>
    <r>
      <rPr>
        <sz val="10"/>
        <rFont val="MS Sans Serif"/>
        <family val="2"/>
      </rPr>
      <t>)</t>
    </r>
  </si>
  <si>
    <t>Topfversuch mit Birke (1jährige Sämlinge) und Kiefer (2jährige Sämlinge) ...</t>
  </si>
  <si>
    <t>Tabelle 3: (Auszug)</t>
  </si>
  <si>
    <t>Zuwachs von ... Birke ... und Kiefer nach einer Vegetationsperiode unter verschiedenen Lichtbedingungen</t>
  </si>
  <si>
    <t>Ausgangsgewicht</t>
  </si>
  <si>
    <t>Schattenstufe</t>
  </si>
  <si>
    <t>g</t>
  </si>
  <si>
    <t>%</t>
  </si>
  <si>
    <t>I</t>
  </si>
  <si>
    <t>100-85%</t>
  </si>
  <si>
    <t>II</t>
  </si>
  <si>
    <t>70-55%</t>
  </si>
  <si>
    <t>45-30%</t>
  </si>
  <si>
    <t>Gesamtgewicht</t>
  </si>
  <si>
    <t>Nadel- und Sproßgewicht</t>
  </si>
  <si>
    <t>Wurzelgewicht</t>
  </si>
  <si>
    <t>Wurzel- u. Nadel- u. Sproßgewicht</t>
  </si>
  <si>
    <t>Blattgewicht</t>
  </si>
  <si>
    <t>Sproßgewicht</t>
  </si>
  <si>
    <t>Wurzel- u. Sproßgewicht</t>
  </si>
  <si>
    <t>Tabelle 4: (Auszug)</t>
  </si>
  <si>
    <t>Absolute und relative Gewichte [g TS und %] der Pflanzen und einzelnen Pflanzenteile</t>
  </si>
  <si>
    <t>Streuung</t>
  </si>
  <si>
    <t>Tabelle 5: (Auszug)</t>
  </si>
  <si>
    <t xml:space="preserve">Übersicht über den prozentualen Anteil der einzelnen Pflanzenorgane am Gesamtgewicht sowie über die </t>
  </si>
  <si>
    <t>Wurzel-Sproß-Relation unter verschiedenen Lichtbedingungen</t>
  </si>
  <si>
    <t>Wurzel/ Sproß</t>
  </si>
  <si>
    <t>rel. Änderung Wurzel/ Sproß in %</t>
  </si>
  <si>
    <t>Tabelle 6: (Auszug)</t>
  </si>
  <si>
    <t>Relativer und absoluter Stickstoffgehalt der Pflanzenorgane nach einer Kultur unter verschiedenen Lichtbedingungen</t>
  </si>
  <si>
    <t>Sproß + Nadel</t>
  </si>
  <si>
    <t>N %</t>
  </si>
  <si>
    <t>x</t>
  </si>
  <si>
    <t>N abs.</t>
  </si>
  <si>
    <t>Wurzel</t>
  </si>
  <si>
    <t>Blatt</t>
  </si>
  <si>
    <t>Sproß</t>
  </si>
  <si>
    <t>weitere Werte entsprechend für Douglasie, Roterle, Roteiche und Robinie</t>
  </si>
  <si>
    <t>Lyr, H., Hoffmann, G. und Dohse, K. (1963): Über den Einfluß unterscheidlicher Beschattung auf die Stoffproduktion von Jungpflanzen einiger Waldbäume (I. Mitteilung). Flora, Jena 153, S. 291-311</t>
  </si>
  <si>
    <t>Tabelle 4:</t>
  </si>
  <si>
    <t>(+/- Wert = Streuung; N = Anzahl der ausgewerteten Pflanzen; S = Signifikanz der Differenz)</t>
  </si>
  <si>
    <t>(Bemerkung)</t>
  </si>
  <si>
    <t>% der Freilandhelligkeit</t>
  </si>
  <si>
    <t>Höhe [cm]</t>
  </si>
  <si>
    <t>tot</t>
  </si>
  <si>
    <t xml:space="preserve">einjährige, </t>
  </si>
  <si>
    <t>S</t>
  </si>
  <si>
    <t>kräftige</t>
  </si>
  <si>
    <t>Sproßgewicht [g]</t>
  </si>
  <si>
    <t>Sämlinge</t>
  </si>
  <si>
    <t>++</t>
  </si>
  <si>
    <t>Wurzelgewicht [g]</t>
  </si>
  <si>
    <t>+</t>
  </si>
  <si>
    <t>+++</t>
  </si>
  <si>
    <t>Nadelgewicht [g]</t>
  </si>
  <si>
    <t>Gesamtgewicht [g]</t>
  </si>
  <si>
    <t>N</t>
  </si>
  <si>
    <t>Lärche</t>
  </si>
  <si>
    <t>zweijährige,</t>
  </si>
  <si>
    <t>verschulte</t>
  </si>
  <si>
    <t>Höhenzuwachs [cm]</t>
  </si>
  <si>
    <t>Pflanzen</t>
  </si>
  <si>
    <t>Fichte</t>
  </si>
  <si>
    <t>auch</t>
  </si>
  <si>
    <t>anwendbar</t>
  </si>
  <si>
    <t>für Douglasie</t>
  </si>
  <si>
    <t>0</t>
  </si>
  <si>
    <t>Esche</t>
  </si>
  <si>
    <t>für Ahorn</t>
  </si>
  <si>
    <t>Winter-Linde</t>
  </si>
  <si>
    <t>dreijährige,</t>
  </si>
  <si>
    <t>Tabelle 7:</t>
  </si>
  <si>
    <t>(Bei den Laubgehölzen und bei der Lärche bezieht sich der Gesamtzuwachs nur auf Wurzel und Sproßachse, da das Ausgangsblattgewicht</t>
  </si>
  <si>
    <t xml:space="preserve">nicht bestimmbar war.) Das Wurzel/Sproß-Verhältnis wurde aus den Gewichten von Wurzel/ Sproßachse und Blättern errechnet. </t>
  </si>
  <si>
    <t>Die in Klammern gesetzten Baumarten befanden sich zwei Jahre unter den vorliegenden Versuchsbedingungen.</t>
  </si>
  <si>
    <t>Gesamtzuwachs</t>
  </si>
  <si>
    <t>Wurzelzuwachs</t>
  </si>
  <si>
    <t>Wurzel/Sproß-Relation</t>
  </si>
  <si>
    <t>Linde</t>
  </si>
  <si>
    <t>(Birke)</t>
  </si>
  <si>
    <t>(Roteiche)</t>
  </si>
  <si>
    <t>(Douglasie)</t>
  </si>
  <si>
    <t>Gesamtzusammenstellung Biomasse-Relationen Kiefer</t>
  </si>
  <si>
    <t>Source</t>
  </si>
  <si>
    <t>Remarks</t>
  </si>
  <si>
    <t>Stand data</t>
  </si>
  <si>
    <t>Cannell</t>
  </si>
  <si>
    <t>Total biomass above ground</t>
  </si>
  <si>
    <t>Total biomass</t>
  </si>
  <si>
    <t>Mittelwerte des Bestandes !!</t>
  </si>
  <si>
    <t>[t DM / ha]</t>
  </si>
  <si>
    <t>kg DM/ tree</t>
  </si>
  <si>
    <t>Claesson</t>
  </si>
  <si>
    <t>Pinus sylvestris (mean)</t>
  </si>
  <si>
    <t>Pinus sylvestris (min)</t>
  </si>
  <si>
    <t>Pinus sylvestris (max)</t>
  </si>
  <si>
    <t>DBH</t>
  </si>
  <si>
    <t>Pinus sylvestris (90%Licht)</t>
  </si>
  <si>
    <t>Pinus sylvestris (60%Licht)</t>
  </si>
  <si>
    <t>Pinus sylvestris (40%Licht)</t>
  </si>
  <si>
    <t>Pinus sylvestris (15%Licht)</t>
  </si>
  <si>
    <t>Pinus sylvestris (100%Licht)</t>
  </si>
  <si>
    <t>Pinus sylvestris (68%Licht)</t>
  </si>
  <si>
    <t>Pinus sylvestris (35%Licht)</t>
  </si>
  <si>
    <t>Pinus sylvestris (12%Licht)</t>
  </si>
  <si>
    <t>Lyr, Hoffmann und Engel</t>
  </si>
  <si>
    <t>Lyr, Hoffmann und Dohse</t>
  </si>
  <si>
    <t>Summe Produktion an Biomasse</t>
  </si>
  <si>
    <t>Gesamtzusammenstellung Blattmasse-Höhen-Beziehungen Kiefer</t>
  </si>
  <si>
    <t>Künstle &amp; Mitscherlich</t>
  </si>
  <si>
    <t>Burger</t>
  </si>
  <si>
    <t>Tab.10</t>
  </si>
  <si>
    <t>Dengler</t>
  </si>
  <si>
    <t>Age [years]</t>
  </si>
  <si>
    <t>Tree height [m]</t>
  </si>
  <si>
    <t>DBH [cm]</t>
  </si>
  <si>
    <t>Foliage [kg DW/ tree]</t>
  </si>
  <si>
    <t xml:space="preserve">Pinus sylvestris </t>
  </si>
  <si>
    <t>Kallweit</t>
  </si>
  <si>
    <t>KroRad</t>
  </si>
  <si>
    <t>Nährstoffmangelerscheinungen auf (vor allem N), so daß diese Werte als zu gering, vor allem für das zweite Jahr bei Birke und Roteiche angesehen werden müssen !!</t>
  </si>
  <si>
    <t>Lyr, Horst, Hoffmann, Günter und Engel, Werner (1964): Über den Einfluß unterschiedlicher Beschattung auf die Stoffproduktion von Jungpflanzen einiger Waldbäume (II. Mitteilung). Flora, Jena 155, S. 305-330</t>
  </si>
  <si>
    <t>weitere Quelle:</t>
  </si>
  <si>
    <r>
      <t xml:space="preserve">Absolute und relative Gewichte </t>
    </r>
    <r>
      <rPr>
        <sz val="10"/>
        <rFont val="MS Sans Serif"/>
        <family val="2"/>
      </rPr>
      <t>(in Gramm [g] TS und %) der Pflanzen und der einzelnen Pflanzenteile nach einer Kultur unter verschiedenen Lichtbedingungen</t>
    </r>
  </si>
  <si>
    <r>
      <t>Zunahme der Trockensubstanz</t>
    </r>
    <r>
      <rPr>
        <sz val="10"/>
        <rFont val="MS Sans Serif"/>
        <family val="2"/>
      </rPr>
      <t xml:space="preserve"> der Versuchspflanzen im Jahre 1962 in Prozent des Ausgangsgewichtes bei verschiedener Beschattung.</t>
    </r>
  </si>
  <si>
    <r>
      <t>Anmerkung aus dem Text:</t>
    </r>
    <r>
      <rPr>
        <sz val="10"/>
        <rFont val="MS Sans Serif"/>
        <family val="2"/>
      </rPr>
      <t xml:space="preserve"> durch die Anzucht in Töpfen traten insbesondere bei den Voll-Lichtvarianten von Birke, Lärche und Roteiche </t>
    </r>
  </si>
  <si>
    <t>Bezirk Jaroslaw, Kreis Uglietsch</t>
  </si>
  <si>
    <t>unterhalb der südlichen Taigagrenze</t>
  </si>
  <si>
    <t>33jährige Kiefernanpflanzung</t>
  </si>
  <si>
    <t>Mittelhöhe der Kiefer = 16 m</t>
  </si>
  <si>
    <t>Mittelhöhe der Birke = 17,3 m</t>
  </si>
  <si>
    <t>Mittlerer BHD der Kiefer = 12,4 cm</t>
  </si>
  <si>
    <t>Mittlerer BHD der Birke = 15,7 cm</t>
  </si>
  <si>
    <t xml:space="preserve">Einige statistische Kennwerte der durchschnittlichen quantitativen Veränderung der intensiven Atmung </t>
  </si>
  <si>
    <t>der Skelett-Wurzeln verschiedener Durchmesser</t>
  </si>
  <si>
    <t>Wurzeldurch-messer (cm)</t>
  </si>
  <si>
    <t>Lagerungs-tiefe (cm)</t>
  </si>
  <si>
    <t>Durchschnittliche Atmungsintensität</t>
  </si>
  <si>
    <t>mg CO2/ kg * h</t>
  </si>
  <si>
    <t>mg CO2/ dm2 * h</t>
  </si>
  <si>
    <t>Wert</t>
  </si>
  <si>
    <t>Variations-koeffizient</t>
  </si>
  <si>
    <t>Mamaev, W.W. (1974): Determining the rate of CO2 liberation by tree roots in natural conditions. Lesovedenie. 1974, No. 5, 16-24 (Russian)</t>
  </si>
  <si>
    <t>ähnlich vor, laut Abstract in Englisch 40jährige Bestände</t>
  </si>
  <si>
    <t>Tabelle 1: Wurzelmassen in einem Kiefern- und Birkenbestand des Sauerklee-Heidelbeertyps</t>
  </si>
  <si>
    <t>Wurzelfrak-tion in mm</t>
  </si>
  <si>
    <t>Frischmasse</t>
  </si>
  <si>
    <t>Trockenmasse</t>
  </si>
  <si>
    <t>t/ ha</t>
  </si>
  <si>
    <t>&lt;0.6</t>
  </si>
  <si>
    <t>0.6-1.0</t>
  </si>
  <si>
    <t>1.0-1.5</t>
  </si>
  <si>
    <t>1.5-2.0</t>
  </si>
  <si>
    <t>Summe</t>
  </si>
  <si>
    <t>Skelettwurzeln</t>
  </si>
  <si>
    <t>2.0-10.0</t>
  </si>
  <si>
    <t>10.0-20.0</t>
  </si>
  <si>
    <t>20.0-40.0</t>
  </si>
  <si>
    <t>&gt;40.0</t>
  </si>
  <si>
    <t>Hauptwurzeln</t>
  </si>
  <si>
    <t>Tabelle 2: Vergleich der mittleren Atmungsaktivität der Skelettwurzeln von Kiefer und Birke für Juli/ August</t>
  </si>
  <si>
    <t>Bodentemperatur</t>
  </si>
  <si>
    <t>°C</t>
  </si>
  <si>
    <t>Kiefernbestand (1971)</t>
  </si>
  <si>
    <t>Kiefernbestand (1972)</t>
  </si>
  <si>
    <t>Birkenbestand (1972)</t>
  </si>
  <si>
    <t>Tabelle 3: Atmungsaktivität der Feinwurzeln verschiedener morphologischer Zusammensetzung im Jahre 1973</t>
  </si>
  <si>
    <t>Atmungsintensität</t>
  </si>
  <si>
    <t>Morphologische Zusammensetzung, Wurzelverteilung</t>
  </si>
  <si>
    <t>mm2/ mm3</t>
  </si>
  <si>
    <t>mg CO2/ g * h</t>
  </si>
  <si>
    <t>nach Volumen in mm3, %</t>
  </si>
  <si>
    <t>nach Fläche, mm2, %</t>
  </si>
  <si>
    <t>Wachstum</t>
  </si>
  <si>
    <t>Abschluß</t>
  </si>
  <si>
    <t>Kiefernbestand</t>
  </si>
  <si>
    <t>g TS/ g TS*d</t>
  </si>
  <si>
    <t>Birkenbestand</t>
  </si>
  <si>
    <t>Tabelle 4: von den Wurzeln abgegebene CO2-Menge der Baumarten in Kiefern- und Birkenbeständen des Sauerklee-Heidelbeertyps im Jahre 1973</t>
  </si>
  <si>
    <t>Fraktion (mm)</t>
  </si>
  <si>
    <t>Frischmasse (t/ ha)</t>
  </si>
  <si>
    <t>Anfang Juni</t>
  </si>
  <si>
    <t>Anfang August</t>
  </si>
  <si>
    <t>kg CO2/ ha * h</t>
  </si>
  <si>
    <t>&lt;2</t>
  </si>
  <si>
    <t>2-10</t>
  </si>
  <si>
    <t>10-20</t>
  </si>
  <si>
    <t>20-40</t>
  </si>
  <si>
    <t>&gt;40</t>
  </si>
  <si>
    <t>Summe ohne Feinwurzeln</t>
  </si>
  <si>
    <t>Bodentemperatur in °C in 20 cm Tiefe</t>
  </si>
  <si>
    <t>Tabelle 5: Abgegebene CO2-Menge der Wurzeln in einer Kiefern- und Birkenanpflanzung (in kg/ ha Fläche) im Jahre 1975</t>
  </si>
  <si>
    <t>Wurzeln</t>
  </si>
  <si>
    <t>Gesamt, V-X</t>
  </si>
  <si>
    <t>Kieferbestand</t>
  </si>
  <si>
    <t>Mamaev, V.V. (1984): Respiration of tree roots in the Pinetum and Betuletum oxalidoso-myrtillosum. Lesovedenie. 1984, No. 6, 53-60 (Russian)</t>
  </si>
  <si>
    <t xml:space="preserve">AB:  Studies were made in high-yielding 40-yr-old stands of pine and birch (Betula verrucosa) in the Yaroslavl region, </t>
  </si>
  <si>
    <t xml:space="preserve">using the Boysen-Jensen method to measure root respiration rate. The results (shown in graphs and a table) indicate that for most of the day </t>
  </si>
  <si>
    <t xml:space="preserve">root respiration followed soil temp.; however, in early morning and at mid-day this pattern was broken, when an increase and a decrease, </t>
  </si>
  <si>
    <t>Die Tiefe der täglichen Depression der Feinwurzelatmung von Kiefern und Birken im Jahre 1971</t>
  </si>
  <si>
    <t>Datum</t>
  </si>
  <si>
    <t>Bodentem-peratur in °C</t>
  </si>
  <si>
    <t>Wurzel-Nr.</t>
  </si>
  <si>
    <t>Masse in g</t>
  </si>
  <si>
    <t>Mittlere Atmungsaktivität in mg CO2/ g * h</t>
  </si>
  <si>
    <t xml:space="preserve">Verhältnis zwischen Hoch- und Tiefwerten der Atmung </t>
  </si>
  <si>
    <t>delta i</t>
  </si>
  <si>
    <t>Wert t-student-test</t>
  </si>
  <si>
    <t>Hauptabweichung in %</t>
  </si>
  <si>
    <t>2. VII</t>
  </si>
  <si>
    <t>20.VII</t>
  </si>
  <si>
    <t>27.VII</t>
  </si>
  <si>
    <t>4.VIII</t>
  </si>
  <si>
    <t>Mamaev, V.V. (1983): Diurnal changes in the rate of CO2 release from rootlets of Scots pine and birch in natural conditions. Lesovedenie. 1983, No. 3, 33-38 (Russian)</t>
  </si>
  <si>
    <t>in roter Schrift = aus den Originaldaten errechnete/ abgeleitete Werte</t>
  </si>
  <si>
    <t>Stem</t>
  </si>
  <si>
    <t>Roots</t>
  </si>
  <si>
    <t>Tab. 10 Reisiggewicht, Anteil der Nadeln und Wassergehalt von Reisig und Blättern.</t>
  </si>
  <si>
    <t>Kulturort und Herkunft</t>
  </si>
  <si>
    <t>Reisig mit Nadeln</t>
  </si>
  <si>
    <t>Anteil der Nadeln</t>
  </si>
  <si>
    <t>Wassergehalt in Prozenten des Trocken-gewichtes</t>
  </si>
  <si>
    <t>Schaft-reisig kg</t>
  </si>
  <si>
    <t>Ast-reisig kg</t>
  </si>
  <si>
    <t>Gesamt-reisig kg</t>
  </si>
  <si>
    <t>am Ast-reisig %</t>
  </si>
  <si>
    <t>am Gesamt-reisig %</t>
  </si>
  <si>
    <t>des Gesamt-reisigs %</t>
  </si>
  <si>
    <t>der frischen Nadeln %</t>
  </si>
  <si>
    <t>Adlisberg; Livland</t>
  </si>
  <si>
    <t xml:space="preserve">Eglisau; Schweden </t>
  </si>
  <si>
    <t>410 m Ostpreußen</t>
  </si>
  <si>
    <t xml:space="preserve">X.1925 Belgien </t>
  </si>
  <si>
    <t>Rothenbruch</t>
  </si>
  <si>
    <t xml:space="preserve">Eglisau; Livland </t>
  </si>
  <si>
    <t>410 m Livland</t>
  </si>
  <si>
    <t>XI.1930 Livland</t>
  </si>
  <si>
    <t>XI. 1930 Eglisau</t>
  </si>
  <si>
    <t>Eglisau</t>
  </si>
  <si>
    <t>Spank (1979)</t>
  </si>
  <si>
    <t>Voll vermessene Bäume zur Kalibrierung von Schätzfunktionen</t>
  </si>
  <si>
    <t>Baum</t>
  </si>
  <si>
    <t>Alter</t>
  </si>
  <si>
    <t>Wuchstyp nach Kräuter 1973</t>
  </si>
  <si>
    <t>H</t>
  </si>
  <si>
    <t>Gesamtkronenmasse, feucht</t>
  </si>
  <si>
    <t>Feinreisigmasse, feucht</t>
  </si>
  <si>
    <t>Nadeltrockenmasse</t>
  </si>
  <si>
    <t>Anzahl Nadeljahrgänge am Baum</t>
  </si>
  <si>
    <t>1b</t>
  </si>
  <si>
    <t>1a</t>
  </si>
  <si>
    <t>Spank, G. (1979) Über Kronen- und Nadelmassen von Reinbeständen der Baumart Kiefer (Pinus silvestris L.) im Tiefland der DDR. In Akademie der Landwirtschaftswissenschaften der Deutschen Demokratischen Republik. pp. 163. Eberswalde:</t>
  </si>
  <si>
    <t>Spank</t>
  </si>
  <si>
    <t>Adlisberg; Schweden</t>
  </si>
  <si>
    <t>670m Schweden</t>
  </si>
  <si>
    <t>IX. 1945 Schweden</t>
  </si>
  <si>
    <t>Schweden</t>
  </si>
  <si>
    <t>IX. 1945 Eglisau</t>
  </si>
  <si>
    <t>IX. 1945 Rigi</t>
  </si>
  <si>
    <t>Rigi</t>
  </si>
  <si>
    <t>IX. 1945 Osco</t>
  </si>
  <si>
    <t>Osco</t>
  </si>
  <si>
    <t>IX. 1945 Cantal</t>
  </si>
  <si>
    <t>Cantal</t>
  </si>
  <si>
    <t>IX. 1945 Königsbrück</t>
  </si>
  <si>
    <t>Königsbrück</t>
  </si>
  <si>
    <t>16?</t>
  </si>
  <si>
    <t>17?</t>
  </si>
  <si>
    <t>IX. 1945 Ural</t>
  </si>
  <si>
    <t>15?</t>
  </si>
  <si>
    <t>Ural</t>
  </si>
  <si>
    <t>Eglisau Schweden</t>
  </si>
  <si>
    <t>IX.1945 Schweden</t>
  </si>
  <si>
    <t>Adlisberg; Ural</t>
  </si>
  <si>
    <t>670 m Pfalz /</t>
  </si>
  <si>
    <t>VIII. 1946 Osco</t>
  </si>
  <si>
    <t>Pfalz</t>
  </si>
  <si>
    <t>VIII.1946 Hargarten</t>
  </si>
  <si>
    <t xml:space="preserve">Hargarten </t>
  </si>
  <si>
    <t>Hargarten</t>
  </si>
  <si>
    <t>Ha rgarten</t>
  </si>
  <si>
    <t>Eglisau; Norwegen</t>
  </si>
  <si>
    <t>410m Norwegen</t>
  </si>
  <si>
    <t xml:space="preserve">II. 1930 Königsbrück </t>
  </si>
  <si>
    <t>___</t>
  </si>
  <si>
    <t>670m Schottland</t>
  </si>
  <si>
    <t>IV. 1932 Schottland</t>
  </si>
  <si>
    <t>Belgien</t>
  </si>
  <si>
    <t>Chur</t>
  </si>
  <si>
    <t>V.1936</t>
  </si>
  <si>
    <t>II. 1934 Norwegen</t>
  </si>
  <si>
    <t>Ostpreußen</t>
  </si>
  <si>
    <t>II. 1934; Königsbrück</t>
  </si>
  <si>
    <t>Magglingen; Cantal</t>
  </si>
  <si>
    <t>1070 m Cantal</t>
  </si>
  <si>
    <t>X.1938 Cantal</t>
  </si>
  <si>
    <t>X.1938 Eglisau</t>
  </si>
  <si>
    <t>Magglingen; Königsbrück</t>
  </si>
  <si>
    <t>X.1938 Königsbrück</t>
  </si>
  <si>
    <t>X.1938 Ostpreußen</t>
  </si>
  <si>
    <t xml:space="preserve">Ostpreußen </t>
  </si>
  <si>
    <t>X. 1938 Ochansk</t>
  </si>
  <si>
    <t>Ochansk</t>
  </si>
  <si>
    <t>X. 1938 Schweden</t>
  </si>
  <si>
    <t>Eglisau; Cantal</t>
  </si>
  <si>
    <t>III. 1939 Cantal</t>
  </si>
  <si>
    <t>III, 1939 Eglisau</t>
  </si>
  <si>
    <t>III. 1939 Königsbrück</t>
  </si>
  <si>
    <t>Eglisau Ostpreußen</t>
  </si>
  <si>
    <t>III, 1939 Ostpreußen</t>
  </si>
  <si>
    <t xml:space="preserve"> 7 ,7</t>
  </si>
  <si>
    <t>III,1939 Norwegen</t>
  </si>
  <si>
    <t>Norwegen</t>
  </si>
  <si>
    <t>Samaden; Norwegen</t>
  </si>
  <si>
    <t>1950 in Norwegen</t>
  </si>
  <si>
    <t>IX, 1940 Norwegen</t>
  </si>
  <si>
    <t>IX, 1940  Schweden</t>
  </si>
  <si>
    <t>IX, 1940 Ural</t>
  </si>
  <si>
    <t>IX, 1940 Samaden</t>
  </si>
  <si>
    <t>Samaden</t>
  </si>
  <si>
    <t>Lenzburg; Hard</t>
  </si>
  <si>
    <t>—</t>
  </si>
  <si>
    <t>400 m ,Hard</t>
  </si>
  <si>
    <t xml:space="preserve">VI, 1924 Hard </t>
  </si>
  <si>
    <t>Gurmels; 605m; IX,1927</t>
  </si>
  <si>
    <t>Adlisberg; 620m</t>
  </si>
  <si>
    <t>XII, 1925</t>
  </si>
  <si>
    <t>Gurmels; 605 m ,</t>
  </si>
  <si>
    <t xml:space="preserve"> XI, 1937</t>
  </si>
  <si>
    <t>Schaff hausen; XI, 1921</t>
  </si>
  <si>
    <t>Gurmels; 605 in</t>
  </si>
  <si>
    <t>II, 1943</t>
  </si>
  <si>
    <t>Gurmels,605m; IX, 1927</t>
  </si>
  <si>
    <t>Gurmels; 650 m</t>
  </si>
  <si>
    <t>XI, 1937</t>
  </si>
  <si>
    <t>Zürich: Rigiblick: 620 m</t>
  </si>
  <si>
    <t>XII-1925</t>
  </si>
  <si>
    <t>Eglisau; 410 m</t>
  </si>
  <si>
    <t>II,1940</t>
  </si>
  <si>
    <t>Chur; V. 1936</t>
  </si>
  <si>
    <t>Wohlen; 455 in</t>
  </si>
  <si>
    <t>III, 1946</t>
  </si>
  <si>
    <t>Montmagny; VIII, 1936</t>
  </si>
  <si>
    <t>Gurmels; 550 m</t>
  </si>
  <si>
    <t>II,1943</t>
  </si>
  <si>
    <t>Gurmels; IX, 1927</t>
  </si>
  <si>
    <t>Gurmels; 560 m</t>
  </si>
  <si>
    <t>XI,1937</t>
  </si>
  <si>
    <t>Chur; V, 1936</t>
  </si>
  <si>
    <t>Schaffhausen; XI, 1931</t>
  </si>
  <si>
    <t>BIattgewicht, Nadeloberfläche und Schaftzuwachs</t>
  </si>
  <si>
    <t>Frische Nadeln</t>
  </si>
  <si>
    <t>Schaftzuwachs</t>
  </si>
  <si>
    <t>Oberfläche</t>
  </si>
  <si>
    <t>kg</t>
  </si>
  <si>
    <t>je Blatt cm2</t>
  </si>
  <si>
    <t>je Baum m2</t>
  </si>
  <si>
    <t>____</t>
  </si>
  <si>
    <t xml:space="preserve">Durchmesser mit Rinde in 1,3m  </t>
  </si>
  <si>
    <t>cm</t>
  </si>
  <si>
    <t xml:space="preserve">Alter </t>
  </si>
  <si>
    <t>Jahre</t>
  </si>
  <si>
    <t xml:space="preserve">Probe-Baum </t>
  </si>
  <si>
    <t>Nr.</t>
  </si>
  <si>
    <t xml:space="preserve">Baumhöhe  </t>
  </si>
  <si>
    <t>m</t>
  </si>
  <si>
    <t xml:space="preserve">Trocken-Zuwachs je 1 kg trockene Nadeln </t>
  </si>
  <si>
    <t>Auf je 1 m3 Zuwachs braucht es frische Nadeln</t>
  </si>
  <si>
    <t xml:space="preserve"> kg</t>
  </si>
  <si>
    <t xml:space="preserve">Trockene Nadeln je Baum </t>
  </si>
  <si>
    <t xml:space="preserve">Trocken-gewicht </t>
  </si>
  <si>
    <t xml:space="preserve">Raumdichtezahl </t>
  </si>
  <si>
    <t xml:space="preserve">Liter Holz im Jahr </t>
  </si>
  <si>
    <t>dm3</t>
  </si>
  <si>
    <t>je kg    m2</t>
  </si>
  <si>
    <t xml:space="preserve">Gewicht je Baum                    </t>
  </si>
  <si>
    <t xml:space="preserve">Anzahl Nadeln . Je kg        </t>
  </si>
  <si>
    <t xml:space="preserve">Stück </t>
  </si>
  <si>
    <t>II.1930 Eglisau</t>
  </si>
  <si>
    <t>II.1930 Norwegen</t>
  </si>
  <si>
    <t>II.1934; Ostpreußen</t>
  </si>
  <si>
    <t>1030 m Königsbrück</t>
  </si>
  <si>
    <t>Baumhöhe, Alter, Reisiggewicht und Nadelgewicht von Föhren</t>
  </si>
  <si>
    <t/>
  </si>
  <si>
    <t>Frischreisig</t>
  </si>
  <si>
    <t>Gesamtbestand</t>
  </si>
  <si>
    <t>Unterstand</t>
  </si>
  <si>
    <t>Oberstand</t>
  </si>
  <si>
    <t>Die mittleren Kronenmaße und ihr Verhältnis zum Zuwachs</t>
  </si>
  <si>
    <t>bei Föhren verschiedener Durchmesser, bei 1. Bonität.        Tab. 12</t>
  </si>
  <si>
    <t>Kronenlänge</t>
  </si>
  <si>
    <t>Kronenmaße</t>
  </si>
  <si>
    <t>Form-zahl</t>
  </si>
  <si>
    <t>Kronen-inhalt m3</t>
  </si>
  <si>
    <t>70jähriger reiner Föhrenbestand von Gurmels.</t>
  </si>
  <si>
    <t xml:space="preserve">Baumzahlen, Gesamtreisiggewicht, Nadelfrischgewicht, Kronenschirmfläche,  </t>
  </si>
  <si>
    <t>Gesamtreisig</t>
  </si>
  <si>
    <t>Kronen-Schirmfläche</t>
  </si>
  <si>
    <t>Kronenraum</t>
  </si>
  <si>
    <t>Auf einen Liter Schaftzuwachs braucht es</t>
  </si>
  <si>
    <t>Summe oder Mittel</t>
  </si>
  <si>
    <t>14-20</t>
  </si>
  <si>
    <t>22-30</t>
  </si>
  <si>
    <t>32-40</t>
  </si>
  <si>
    <t>Gesamt</t>
  </si>
  <si>
    <t>88jähriger Föhren - Lärchenbestand</t>
  </si>
  <si>
    <t xml:space="preserve">Föhren: Baumzahlen, Gesamtreisiggewicht, Nadelfrischgewicht, Schirmfläche,  </t>
  </si>
  <si>
    <t>Kronenraum und Schaftderbholzzuwachs              Tab. 15</t>
  </si>
  <si>
    <t>42-44</t>
  </si>
  <si>
    <t>Lärchen</t>
  </si>
  <si>
    <t xml:space="preserve">Lärchen: Baumzahlen, Gesamtreisiggewicht, Nadelfrischgewicht, Kronenschirmfläche,  </t>
  </si>
  <si>
    <t>Tab. 16              Kronenraum und Schaftderbholzzuwachs.</t>
  </si>
  <si>
    <t>Baumklasse</t>
  </si>
  <si>
    <t>Schaftform</t>
  </si>
  <si>
    <t>b</t>
  </si>
  <si>
    <t>d</t>
  </si>
  <si>
    <t>670 m Livland, VIII.1923</t>
  </si>
  <si>
    <t>Katzenschwanz; 650 m, IX.1923</t>
  </si>
  <si>
    <t xml:space="preserve">m </t>
  </si>
  <si>
    <t>u</t>
  </si>
  <si>
    <t>o</t>
  </si>
  <si>
    <t>p</t>
  </si>
  <si>
    <t xml:space="preserve"> p</t>
  </si>
  <si>
    <t>s</t>
  </si>
  <si>
    <t xml:space="preserve"> s</t>
  </si>
  <si>
    <t xml:space="preserve"> o</t>
  </si>
  <si>
    <t>Buschberg, 660m; VIII. 1924</t>
  </si>
  <si>
    <t>Modell h(F)</t>
  </si>
  <si>
    <t>Abweichungsquadrate</t>
  </si>
  <si>
    <t>DM/FM Nadeln</t>
  </si>
  <si>
    <t>Kronenradius [dm]</t>
  </si>
  <si>
    <t xml:space="preserve">Table 1. Distribution of sample trees into diameter and height classes. Pine.  </t>
  </si>
  <si>
    <t>Taulukko 1. Koepuiden jakaantuminen läpimitta- ja pituusluokkiin. Mänty.</t>
  </si>
  <si>
    <t>d, cm</t>
  </si>
  <si>
    <r>
      <t xml:space="preserve">Tree height, m - </t>
    </r>
    <r>
      <rPr>
        <i/>
        <sz val="8"/>
        <rFont val="Arial"/>
        <family val="2"/>
      </rPr>
      <t>Puun pituus, m</t>
    </r>
  </si>
  <si>
    <t>Total •rtt.</t>
  </si>
  <si>
    <t>Number of trees - Puita, kpl</t>
  </si>
  <si>
    <t>'</t>
  </si>
  <si>
    <t>.</t>
  </si>
  <si>
    <r>
      <t>Total</t>
    </r>
    <r>
      <rPr>
        <i/>
        <sz val="8"/>
        <rFont val="Arial"/>
        <family val="2"/>
      </rPr>
      <t xml:space="preserve"> Yht.</t>
    </r>
  </si>
  <si>
    <t>Laasasenaho (1982) Taper curve and volume functions for pine, spruce and birch</t>
  </si>
  <si>
    <t>h/d</t>
  </si>
  <si>
    <t>durchschnittlicher diam zuwachs</t>
  </si>
  <si>
    <t>Plot</t>
  </si>
  <si>
    <t>Site type</t>
  </si>
  <si>
    <t>MT</t>
  </si>
  <si>
    <t>VT</t>
  </si>
  <si>
    <t>Basal area m^2/ha</t>
  </si>
  <si>
    <t>Unthinned</t>
  </si>
  <si>
    <t>Thinned</t>
  </si>
  <si>
    <t>Density stems/ha</t>
  </si>
  <si>
    <t>Mean</t>
  </si>
  <si>
    <t>Minimum</t>
  </si>
  <si>
    <t>Maximum</t>
  </si>
  <si>
    <t>DBH cm</t>
  </si>
  <si>
    <t>Height m</t>
  </si>
  <si>
    <t>Crown ratio</t>
  </si>
  <si>
    <t>calculated</t>
  </si>
  <si>
    <t>Area at dbh cm^2</t>
  </si>
  <si>
    <t>regression coefficients kg/cm^2</t>
  </si>
  <si>
    <t>at bh</t>
  </si>
  <si>
    <t>at 20% rh</t>
  </si>
  <si>
    <t>at cb</t>
  </si>
  <si>
    <t>at mc</t>
  </si>
  <si>
    <t>age, approximative y</t>
  </si>
  <si>
    <t>lat</t>
  </si>
  <si>
    <t>lon</t>
  </si>
  <si>
    <t>site index</t>
  </si>
  <si>
    <t>61°51'</t>
  </si>
  <si>
    <t>24°18'</t>
  </si>
  <si>
    <t>estimated</t>
  </si>
  <si>
    <t>Area sapwood cm^2</t>
  </si>
  <si>
    <t>rsap</t>
  </si>
  <si>
    <t xml:space="preserve">Höhen(Durchmesser)formel für Chorin, A-Grad </t>
  </si>
  <si>
    <t>a</t>
  </si>
  <si>
    <t>c</t>
  </si>
  <si>
    <t>h</t>
  </si>
  <si>
    <t>Kronenansatzhöhe nach Nagel</t>
  </si>
  <si>
    <t>c1</t>
  </si>
  <si>
    <t>c2</t>
  </si>
  <si>
    <t>Parameter</t>
  </si>
  <si>
    <t>alpha sh</t>
  </si>
  <si>
    <t>alpha sun</t>
  </si>
  <si>
    <t>Irel</t>
  </si>
  <si>
    <t>Strahlungsabhängigkeit des Höhenwachstums</t>
  </si>
  <si>
    <t>lineares modell</t>
  </si>
  <si>
    <t>residuen</t>
  </si>
  <si>
    <t>potenzfunktion</t>
  </si>
  <si>
    <t>Summe Mittelwerte der Probebäume</t>
  </si>
  <si>
    <t xml:space="preserve">Standardabweichung </t>
  </si>
  <si>
    <t>Variationskoeffizient / Mittl. Ausladungsverhältnis</t>
  </si>
  <si>
    <t>Fläche Nr.</t>
  </si>
  <si>
    <t>Alter Jahre</t>
  </si>
  <si>
    <t>Bon.</t>
  </si>
  <si>
    <t>G 1.3 m2</t>
  </si>
  <si>
    <t>Kro-SFl m2</t>
  </si>
  <si>
    <t>Dm cm</t>
  </si>
  <si>
    <t>Kro-Dm cm</t>
  </si>
  <si>
    <t>Dm %</t>
  </si>
  <si>
    <t>Kro-Dm %</t>
  </si>
  <si>
    <t>Kro-SFl %</t>
  </si>
  <si>
    <t>b:d</t>
  </si>
  <si>
    <t>s%</t>
  </si>
  <si>
    <t>I.0</t>
  </si>
  <si>
    <t>II.8</t>
  </si>
  <si>
    <t>II.3</t>
  </si>
  <si>
    <t>I.9</t>
  </si>
  <si>
    <t>III.9</t>
  </si>
  <si>
    <t>II.6</t>
  </si>
  <si>
    <t>IV.7</t>
  </si>
  <si>
    <t>III.6</t>
  </si>
  <si>
    <t>III. 7</t>
  </si>
  <si>
    <t>Tabelle 1 Kennwerte der 10 Probeflächen Characteristics of die 10 sample areas</t>
  </si>
  <si>
    <t>Tab. 14               Kronenraum und Schaftderbholzzuwachs.</t>
  </si>
  <si>
    <t>Kronenradius</t>
  </si>
  <si>
    <t>dm</t>
  </si>
  <si>
    <t>test for dKr(dBH) relationship</t>
  </si>
  <si>
    <t>dKr [dm]</t>
  </si>
  <si>
    <t>dBH [cm]</t>
  </si>
  <si>
    <t>Durchmesser in 1,3 m [cm]</t>
  </si>
  <si>
    <t>Baum-Zahl je ha [Stück]</t>
  </si>
  <si>
    <t>je ha [kg]</t>
  </si>
  <si>
    <t>je Baum [kg]</t>
  </si>
  <si>
    <t>je Baum [m²]</t>
  </si>
  <si>
    <t>je ha [m²]</t>
  </si>
  <si>
    <t>je Baum [m³]</t>
  </si>
  <si>
    <t>je ha [m³]</t>
  </si>
  <si>
    <t>Schaftderbholzzuwachs im Jahr</t>
  </si>
  <si>
    <t>je Baum [dm³]</t>
  </si>
  <si>
    <t>je ha [dm³]</t>
  </si>
  <si>
    <t>Frische Nadeln [kg]</t>
  </si>
  <si>
    <t>Schirm-fläche [m²]</t>
  </si>
  <si>
    <t>Kronen-raum [m³]</t>
  </si>
  <si>
    <t>Föhren u.</t>
  </si>
  <si>
    <t>Baum-zahl je ha [Stück]</t>
  </si>
  <si>
    <t>Schaftderbholz-zuwachs im Jahr</t>
  </si>
  <si>
    <t>16-20</t>
  </si>
  <si>
    <t>88 jähriger Föhren - Lärchenbestand.</t>
  </si>
  <si>
    <t>es ist nicht klar, welche Bäume hier vermessen wurden (nur herrschende ?, mehrere Bestände?)</t>
  </si>
  <si>
    <t>Durchmesser in 1,3 m [cm].</t>
  </si>
  <si>
    <t>Schatten-Krone [m]</t>
  </si>
  <si>
    <t>Licht-Krone [m]</t>
  </si>
  <si>
    <t>Gesamt-Krone [m]</t>
  </si>
  <si>
    <t>Kronen-Ober-fläche [m³]</t>
  </si>
  <si>
    <t>Trocken-zuwachs je Föhre [kg]</t>
  </si>
  <si>
    <t>Je 1 kg Trockenzuwachs braucht es:</t>
  </si>
  <si>
    <t>Kronen-inhalt [m³</t>
  </si>
  <si>
    <t>Kronen-oberfläche [m²]</t>
  </si>
  <si>
    <t>Tab. 11       verschiedener Durchmesser, etwas besser als 1. Bonität Schwappach.</t>
  </si>
  <si>
    <t>Durchmesser in 1,3m [cm]</t>
  </si>
  <si>
    <t>Baum-alter [Jahre]</t>
  </si>
  <si>
    <t>Baum-höhe [m]</t>
  </si>
  <si>
    <t>Ge-samt-reisig [kg]</t>
  </si>
  <si>
    <t>Ast-reisig [kg]</t>
  </si>
  <si>
    <t>In % des Ge-samtreisigs [%]</t>
  </si>
  <si>
    <t>In % des Ast-reisigs [%]</t>
  </si>
  <si>
    <t>Frisch-gew. je Baum [kg]</t>
  </si>
  <si>
    <t>[Jahre]</t>
  </si>
  <si>
    <t xml:space="preserve">Durch-messer mit Rinde in 1,3m  </t>
  </si>
  <si>
    <t>[cm]</t>
  </si>
  <si>
    <t>[m]</t>
  </si>
  <si>
    <t>Schaft-reisig [kg]</t>
  </si>
  <si>
    <t>Gesamt-reisig [kg]</t>
  </si>
  <si>
    <t>am Ast-reisig [%]</t>
  </si>
  <si>
    <t>des Gesamt-reisigs [%]</t>
  </si>
  <si>
    <t>der frischen Nadeln [%]</t>
  </si>
  <si>
    <t>[kg]</t>
  </si>
  <si>
    <t xml:space="preserve">Anzahl Nadeln  je kg        </t>
  </si>
  <si>
    <t xml:space="preserve">[Stück] </t>
  </si>
  <si>
    <t>je Blatt [cm²]</t>
  </si>
  <si>
    <t>je kg    [m²]</t>
  </si>
  <si>
    <t>[dm³]</t>
  </si>
  <si>
    <t>[0,]</t>
  </si>
  <si>
    <t xml:space="preserve"> [kg]</t>
  </si>
  <si>
    <t>Frisch- und Trockenramngewichte des Föhrenholzes.</t>
  </si>
  <si>
    <t>Mittelwerte aus allen Proben je eines Stammes.</t>
  </si>
  <si>
    <t>Tab. 2</t>
  </si>
  <si>
    <t>Probebaum Nr.</t>
  </si>
  <si>
    <t>Standort und Herkunft</t>
  </si>
  <si>
    <t>Anzahl Holz-proben [Stück]</t>
  </si>
  <si>
    <t>Frischraumgewicht</t>
  </si>
  <si>
    <t>Trockenraumgewicht</t>
  </si>
  <si>
    <t>Ganzer Stamm</t>
  </si>
  <si>
    <t>Rein Splint</t>
  </si>
  <si>
    <t>Rein Kern</t>
  </si>
  <si>
    <t>Eglisau; 410 m; XI. 1925</t>
  </si>
  <si>
    <t>4-7</t>
  </si>
  <si>
    <t>versch. Prov.</t>
  </si>
  <si>
    <t>Eglisau; 410 m; XI. 1930</t>
  </si>
  <si>
    <t>8-10</t>
  </si>
  <si>
    <t>Livland</t>
  </si>
  <si>
    <t>11-13</t>
  </si>
  <si>
    <t>Adlisberg; 670 m</t>
  </si>
  <si>
    <t>IX. 1945</t>
  </si>
  <si>
    <t>14-17</t>
  </si>
  <si>
    <t>18-21</t>
  </si>
  <si>
    <t>22-25</t>
  </si>
  <si>
    <t>26-29</t>
  </si>
  <si>
    <t>Oseo</t>
  </si>
  <si>
    <t>30-33</t>
  </si>
  <si>
    <t>34-38</t>
  </si>
  <si>
    <t>39-43</t>
  </si>
  <si>
    <t>44-47</t>
  </si>
  <si>
    <t>48-51</t>
  </si>
  <si>
    <t>Adlisberg; 670m</t>
  </si>
  <si>
    <t>VIII. 1946</t>
  </si>
  <si>
    <t>52-58</t>
  </si>
  <si>
    <t>59-66</t>
  </si>
  <si>
    <t>Eglisau; 410 m; II. 1930</t>
  </si>
  <si>
    <t>67-69</t>
  </si>
  <si>
    <t>70-72</t>
  </si>
  <si>
    <t>73-75</t>
  </si>
  <si>
    <t>IV.1932</t>
  </si>
  <si>
    <t>77-81</t>
  </si>
  <si>
    <t>82-86</t>
  </si>
  <si>
    <t>24-27</t>
  </si>
  <si>
    <t>Eglisau; 410 m; II. 1934</t>
  </si>
  <si>
    <t>87-89</t>
  </si>
  <si>
    <t>90-92</t>
  </si>
  <si>
    <t>93-95</t>
  </si>
  <si>
    <t>Magglingen; 1070 m</t>
  </si>
  <si>
    <t>X.1938</t>
  </si>
  <si>
    <t>96-99</t>
  </si>
  <si>
    <t>100-103</t>
  </si>
  <si>
    <t>104-107</t>
  </si>
  <si>
    <t>108-111</t>
  </si>
  <si>
    <t>112-115</t>
  </si>
  <si>
    <t>116-119</t>
  </si>
  <si>
    <t>Eglisau; 410m; III. 1939</t>
  </si>
  <si>
    <t>120-123</t>
  </si>
  <si>
    <t>124-127</t>
  </si>
  <si>
    <t>128-131</t>
  </si>
  <si>
    <t>132-135</t>
  </si>
  <si>
    <t>136-139</t>
  </si>
  <si>
    <t>Samaden; 1950 m</t>
  </si>
  <si>
    <t>IX. 1940</t>
  </si>
  <si>
    <t>140-143</t>
  </si>
  <si>
    <t>144-147</t>
  </si>
  <si>
    <t>148-151</t>
  </si>
  <si>
    <t>152-155</t>
  </si>
  <si>
    <t>Lenzburg; Hard, 400m,</t>
  </si>
  <si>
    <t>VI. 1924</t>
  </si>
  <si>
    <t>Gurmels; 605 m;</t>
  </si>
  <si>
    <t>IX. 1927</t>
  </si>
  <si>
    <t>Vanninen, P., Ylitalo, H., Sievanen, R., Mäkelä, A. (1996): Effects of Age and Site Quality On the Distribution of Biomass in Scots Pine (Pinus Sylvestris L). Trees-Structure &amp; Function 10(4), 231-238.</t>
  </si>
  <si>
    <t xml:space="preserve"> Table 3  </t>
  </si>
  <si>
    <t xml:space="preserve"> Biomasses (kg) by compartment in the sample trees  </t>
  </si>
  <si>
    <t xml:space="preserve"> </t>
  </si>
  <si>
    <t xml:space="preserve"> Stand  </t>
  </si>
  <si>
    <t xml:space="preserve"> Height (m)  </t>
  </si>
  <si>
    <t xml:space="preserve"> d 1,3 (cm)  </t>
  </si>
  <si>
    <t xml:space="preserve"> Age (years)  </t>
  </si>
  <si>
    <t xml:space="preserve"> Above ground  </t>
  </si>
  <si>
    <t xml:space="preserve"> Heartwood  </t>
  </si>
  <si>
    <t xml:space="preserve"> Sapwood  </t>
  </si>
  <si>
    <t xml:space="preserve"> Bark  </t>
  </si>
  <si>
    <t xml:space="preserve"> Branch (heartwood)  </t>
  </si>
  <si>
    <t xml:space="preserve"> Branch (sapwood)  </t>
  </si>
  <si>
    <t xml:space="preserve"> Needles  </t>
  </si>
  <si>
    <t xml:space="preserve"> Below ground  </t>
  </si>
  <si>
    <t xml:space="preserve"> Stump  </t>
  </si>
  <si>
    <t xml:space="preserve"> Roots (&gt; 20 cm)  </t>
  </si>
  <si>
    <t xml:space="preserve"> .  </t>
  </si>
  <si>
    <t xml:space="preserve">  </t>
  </si>
  <si>
    <t xml:space="preserve"> - </t>
  </si>
  <si>
    <t xml:space="preserve"> Tap root  </t>
  </si>
  <si>
    <t xml:space="preserve"> Coarse roots (0,5-20 cm)  </t>
  </si>
  <si>
    <t xml:space="preserve"> Roots (0,2-0,5 cm) estim,  </t>
  </si>
  <si>
    <t xml:space="preserve"> Fineroots (&lt;0,2 mm) estim.  </t>
  </si>
  <si>
    <t xml:space="preserve"> Total hiomass  </t>
  </si>
  <si>
    <t>branches</t>
  </si>
  <si>
    <t>corase roots</t>
  </si>
  <si>
    <t>alphac</t>
  </si>
  <si>
    <t>cr_frac</t>
  </si>
  <si>
    <t>Nikinmaa, E., 1992. Analyses of the growth of Scots Pine; matching structure with function. Acta Forestalia Fennica, 235: 68 pp.</t>
  </si>
  <si>
    <t>fine root  mass  specific annual nutrient uptake [kg N/kg DM</t>
  </si>
  <si>
    <t>Table 5, page 38</t>
  </si>
  <si>
    <t>Mudusun</t>
  </si>
  <si>
    <t>Hyytiälä</t>
  </si>
  <si>
    <t>Voronez</t>
  </si>
  <si>
    <t>MW</t>
  </si>
  <si>
    <t>additional, Appendix 5</t>
  </si>
  <si>
    <t>0.006 - 0.02</t>
  </si>
  <si>
    <t>Mälkönen 1974</t>
  </si>
  <si>
    <t>N content  needles</t>
  </si>
  <si>
    <t>N content branches</t>
  </si>
  <si>
    <t>N content  stem</t>
  </si>
  <si>
    <t>N content fine roots</t>
  </si>
  <si>
    <t>andere Parameter</t>
  </si>
  <si>
    <t>kgN/kg/DM</t>
  </si>
  <si>
    <t>mgN/gDM</t>
  </si>
  <si>
    <t>senescence fine roots</t>
  </si>
  <si>
    <t>nach Mohren 1987/ Hari et al 1982</t>
  </si>
  <si>
    <t>0.25/0.2</t>
  </si>
  <si>
    <t>growth respiration prg</t>
  </si>
  <si>
    <t>Berninger, F. and Nikinmaa, E., 1997. Implications of varying pipe model relationships on Scots Pine growth in different climates. Functional Ecology, 11(2): 146-156.</t>
  </si>
  <si>
    <t>Table 1</t>
  </si>
  <si>
    <t>Rom</t>
  </si>
  <si>
    <t>Torino</t>
  </si>
  <si>
    <t>Clermond</t>
  </si>
  <si>
    <t>Hanover</t>
  </si>
  <si>
    <t>Jyväkylä</t>
  </si>
  <si>
    <t>Lulea</t>
  </si>
  <si>
    <t>pnus [kg/cm²]</t>
  </si>
  <si>
    <t>Foliage per unit stem sapwood [kg/m²]</t>
  </si>
  <si>
    <t>mean</t>
  </si>
  <si>
    <t>leaf area</t>
  </si>
  <si>
    <t>Mencuccini, M. and Grace, J., 1995. Climate influences the leaf area/sapwood area ratio in Scots pine. Tree Physiology, 15(1): 1-10.</t>
  </si>
  <si>
    <t>Thetford</t>
  </si>
  <si>
    <t>Aberfoyle</t>
  </si>
  <si>
    <t>m²</t>
  </si>
  <si>
    <t>sapwood area at dbh</t>
  </si>
  <si>
    <t>cm²</t>
  </si>
  <si>
    <t>psla_min = 4</t>
  </si>
  <si>
    <t>m²/kg</t>
  </si>
  <si>
    <t>pnus</t>
  </si>
  <si>
    <t>kg/cm²</t>
  </si>
  <si>
    <t>sapwood area at crown base</t>
  </si>
  <si>
    <t>fit  nach Burger_tab12</t>
  </si>
  <si>
    <t xml:space="preserve">siehe </t>
  </si>
  <si>
    <t>rkr(DBH)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</si>
</sst>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9">
    <font>
      <sz val="10"/>
      <name val="Arial"/>
    </font>
    <font>
      <sz val="10"/>
      <name val="Arial"/>
      <family val="2"/>
    </font>
    <font>
      <sz val="9"/>
      <name val="MS Sans Serif"/>
      <family val="2"/>
    </font>
    <font>
      <i/>
      <sz val="9"/>
      <name val="MS Sans Serif"/>
      <family val="2"/>
    </font>
    <font>
      <sz val="9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10"/>
      <name val="MS Sans Serif"/>
      <family val="2"/>
    </font>
    <font>
      <sz val="12"/>
      <name val="MS Sans Serif"/>
      <family val="2"/>
    </font>
    <font>
      <b/>
      <sz val="8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0"/>
      <name val="MS Sans Serif"/>
      <family val="2"/>
    </font>
    <font>
      <b/>
      <sz val="9"/>
      <name val="MS Sans Serif"/>
      <family val="2"/>
    </font>
    <font>
      <sz val="8"/>
      <name val="_x0001_"/>
    </font>
    <font>
      <sz val="9"/>
      <name val="_x0001_"/>
    </font>
    <font>
      <i/>
      <sz val="9"/>
      <name val="_x0001_"/>
    </font>
    <font>
      <sz val="8"/>
      <name val="MS Sans Serif"/>
      <family val="2"/>
    </font>
    <font>
      <b/>
      <sz val="12"/>
      <name val="MS Sans Serif"/>
      <family val="2"/>
    </font>
    <font>
      <sz val="10"/>
      <color indexed="10"/>
      <name val="MS Sans Serif"/>
      <family val="2"/>
    </font>
    <font>
      <vertAlign val="subscript"/>
      <sz val="9"/>
      <name val="Arial"/>
      <family val="2"/>
    </font>
    <font>
      <sz val="9"/>
      <color indexed="10"/>
      <name val="Arial"/>
      <family val="2"/>
    </font>
    <font>
      <vertAlign val="superscript"/>
      <sz val="9"/>
      <color indexed="10"/>
      <name val="Arial"/>
      <family val="2"/>
    </font>
    <font>
      <vertAlign val="superscript"/>
      <sz val="9"/>
      <name val="Arial"/>
      <family val="2"/>
    </font>
    <font>
      <i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12"/>
      <name val="MS Sans Serif"/>
      <family val="2"/>
    </font>
    <font>
      <b/>
      <sz val="10"/>
      <name val="Arial"/>
      <family val="2"/>
    </font>
    <font>
      <b/>
      <u/>
      <sz val="11"/>
      <name val="Arial"/>
      <family val="2"/>
    </font>
    <font>
      <i/>
      <sz val="10"/>
      <name val="MS Sans Serif"/>
      <family val="2"/>
    </font>
    <font>
      <vertAlign val="subscript"/>
      <sz val="10"/>
      <name val="MS Sans Serif"/>
      <family val="2"/>
    </font>
    <font>
      <vertAlign val="superscript"/>
      <sz val="10"/>
      <name val="MS Sans Serif"/>
      <family val="2"/>
    </font>
    <font>
      <sz val="11"/>
      <name val="MS Sans Serif"/>
      <family val="2"/>
    </font>
    <font>
      <sz val="10"/>
      <name val="MS Sans Serif"/>
      <family val="2"/>
    </font>
    <font>
      <b/>
      <i/>
      <sz val="10"/>
      <name val="MS Sans Serif"/>
      <family val="2"/>
    </font>
    <font>
      <u/>
      <sz val="10"/>
      <name val="MS Sans Serif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i/>
      <sz val="10"/>
      <color indexed="81"/>
      <name val="Tahoma"/>
      <family val="2"/>
    </font>
    <font>
      <sz val="10"/>
      <name val="Helv"/>
    </font>
    <font>
      <sz val="10"/>
      <color indexed="10"/>
      <name val="MS Sans Serif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5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44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</cellStyleXfs>
  <cellXfs count="386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0" fillId="0" borderId="0" xfId="0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6" fillId="0" borderId="0" xfId="5" applyNumberFormat="1" applyFont="1" applyFill="1" applyBorder="1" applyAlignment="1" applyProtection="1">
      <alignment vertical="top"/>
    </xf>
    <xf numFmtId="0" fontId="7" fillId="0" borderId="0" xfId="5" applyNumberFormat="1" applyFont="1" applyFill="1" applyBorder="1" applyAlignment="1" applyProtection="1">
      <alignment vertical="top"/>
    </xf>
    <xf numFmtId="0" fontId="2" fillId="0" borderId="0" xfId="5" applyNumberFormat="1" applyFont="1" applyFill="1" applyBorder="1" applyAlignment="1" applyProtection="1">
      <alignment vertical="top"/>
    </xf>
    <xf numFmtId="0" fontId="2" fillId="0" borderId="1" xfId="5" applyNumberFormat="1" applyFont="1" applyFill="1" applyBorder="1" applyAlignment="1" applyProtection="1">
      <alignment vertical="top" wrapText="1"/>
    </xf>
    <xf numFmtId="0" fontId="2" fillId="0" borderId="1" xfId="5" applyNumberFormat="1" applyFont="1" applyFill="1" applyBorder="1" applyAlignment="1" applyProtection="1">
      <alignment horizontal="centerContinuous" vertical="top"/>
    </xf>
    <xf numFmtId="0" fontId="2" fillId="0" borderId="3" xfId="5" applyNumberFormat="1" applyFont="1" applyFill="1" applyBorder="1" applyAlignment="1" applyProtection="1">
      <alignment vertical="top"/>
    </xf>
    <xf numFmtId="0" fontId="7" fillId="0" borderId="3" xfId="5" applyNumberFormat="1" applyFont="1" applyFill="1" applyBorder="1" applyAlignment="1" applyProtection="1">
      <alignment vertical="top"/>
    </xf>
    <xf numFmtId="0" fontId="7" fillId="0" borderId="4" xfId="5" applyNumberFormat="1" applyFont="1" applyFill="1" applyBorder="1" applyAlignment="1" applyProtection="1">
      <alignment vertical="top"/>
    </xf>
    <xf numFmtId="0" fontId="2" fillId="0" borderId="4" xfId="5" applyNumberFormat="1" applyFont="1" applyFill="1" applyBorder="1" applyAlignment="1" applyProtection="1">
      <alignment vertical="top"/>
    </xf>
    <xf numFmtId="0" fontId="8" fillId="0" borderId="0" xfId="5" applyNumberFormat="1" applyFont="1" applyFill="1" applyBorder="1" applyAlignment="1" applyProtection="1">
      <alignment vertical="top"/>
    </xf>
    <xf numFmtId="0" fontId="6" fillId="0" borderId="0" xfId="6" applyNumberFormat="1" applyFont="1" applyFill="1" applyBorder="1" applyAlignment="1" applyProtection="1">
      <alignment vertical="top"/>
    </xf>
    <xf numFmtId="0" fontId="7" fillId="0" borderId="0" xfId="6" applyNumberFormat="1" applyFont="1" applyFill="1" applyBorder="1" applyAlignment="1" applyProtection="1">
      <alignment vertical="top"/>
    </xf>
    <xf numFmtId="0" fontId="2" fillId="0" borderId="0" xfId="6" applyNumberFormat="1" applyFont="1" applyFill="1" applyBorder="1" applyAlignment="1" applyProtection="1">
      <alignment vertical="top"/>
    </xf>
    <xf numFmtId="0" fontId="2" fillId="0" borderId="1" xfId="6" applyNumberFormat="1" applyFont="1" applyFill="1" applyBorder="1" applyAlignment="1" applyProtection="1">
      <alignment vertical="top" wrapText="1"/>
    </xf>
    <xf numFmtId="0" fontId="2" fillId="0" borderId="1" xfId="6" applyNumberFormat="1" applyFont="1" applyFill="1" applyBorder="1" applyAlignment="1" applyProtection="1">
      <alignment horizontal="centerContinuous" vertical="top"/>
    </xf>
    <xf numFmtId="0" fontId="2" fillId="0" borderId="1" xfId="6" applyNumberFormat="1" applyFont="1" applyFill="1" applyBorder="1" applyAlignment="1" applyProtection="1">
      <alignment horizontal="centerContinuous" vertical="top" wrapText="1"/>
    </xf>
    <xf numFmtId="0" fontId="2" fillId="0" borderId="4" xfId="6" applyNumberFormat="1" applyFont="1" applyFill="1" applyBorder="1" applyAlignment="1" applyProtection="1">
      <alignment vertical="top" wrapText="1"/>
    </xf>
    <xf numFmtId="0" fontId="2" fillId="0" borderId="2" xfId="6" applyNumberFormat="1" applyFont="1" applyFill="1" applyBorder="1" applyAlignment="1" applyProtection="1">
      <alignment horizontal="right" vertical="top"/>
    </xf>
    <xf numFmtId="0" fontId="2" fillId="0" borderId="3" xfId="6" applyNumberFormat="1" applyFont="1" applyFill="1" applyBorder="1" applyAlignment="1" applyProtection="1">
      <alignment horizontal="right" vertical="top"/>
    </xf>
    <xf numFmtId="0" fontId="2" fillId="0" borderId="5" xfId="6" applyNumberFormat="1" applyFont="1" applyFill="1" applyBorder="1" applyAlignment="1" applyProtection="1">
      <alignment horizontal="right" vertical="top"/>
    </xf>
    <xf numFmtId="0" fontId="2" fillId="0" borderId="6" xfId="6" applyNumberFormat="1" applyFont="1" applyFill="1" applyBorder="1" applyAlignment="1" applyProtection="1">
      <alignment horizontal="right" vertical="top"/>
    </xf>
    <xf numFmtId="0" fontId="2" fillId="0" borderId="4" xfId="6" applyNumberFormat="1" applyFont="1" applyFill="1" applyBorder="1" applyAlignment="1" applyProtection="1">
      <alignment horizontal="right" vertical="top"/>
    </xf>
    <xf numFmtId="0" fontId="9" fillId="0" borderId="0" xfId="7" applyNumberFormat="1" applyFont="1" applyFill="1" applyBorder="1" applyAlignment="1" applyProtection="1">
      <alignment vertical="top"/>
    </xf>
    <xf numFmtId="0" fontId="7" fillId="0" borderId="0" xfId="7" applyNumberFormat="1" applyFont="1" applyFill="1" applyBorder="1" applyAlignment="1" applyProtection="1">
      <alignment vertical="top"/>
    </xf>
    <xf numFmtId="0" fontId="2" fillId="0" borderId="1" xfId="7" applyNumberFormat="1" applyFont="1" applyFill="1" applyBorder="1" applyAlignment="1" applyProtection="1">
      <alignment horizontal="centerContinuous" vertical="top"/>
    </xf>
    <xf numFmtId="0" fontId="2" fillId="0" borderId="1" xfId="7" applyNumberFormat="1" applyFont="1" applyFill="1" applyBorder="1" applyAlignment="1" applyProtection="1">
      <alignment horizontal="centerContinuous" vertical="top" wrapText="1"/>
    </xf>
    <xf numFmtId="0" fontId="2" fillId="0" borderId="4" xfId="7" applyNumberFormat="1" applyFont="1" applyFill="1" applyBorder="1" applyAlignment="1" applyProtection="1">
      <alignment vertical="top"/>
    </xf>
    <xf numFmtId="0" fontId="2" fillId="0" borderId="2" xfId="7" applyNumberFormat="1" applyFont="1" applyFill="1" applyBorder="1" applyAlignment="1" applyProtection="1">
      <alignment vertical="top"/>
    </xf>
    <xf numFmtId="0" fontId="2" fillId="0" borderId="3" xfId="7" applyNumberFormat="1" applyFont="1" applyFill="1" applyBorder="1" applyAlignment="1" applyProtection="1">
      <alignment vertical="top"/>
    </xf>
    <xf numFmtId="0" fontId="2" fillId="0" borderId="5" xfId="7" applyNumberFormat="1" applyFont="1" applyFill="1" applyBorder="1" applyAlignment="1" applyProtection="1">
      <alignment vertical="top"/>
    </xf>
    <xf numFmtId="0" fontId="2" fillId="0" borderId="6" xfId="7" applyNumberFormat="1" applyFont="1" applyFill="1" applyBorder="1" applyAlignment="1" applyProtection="1">
      <alignment vertical="top"/>
    </xf>
    <xf numFmtId="0" fontId="4" fillId="0" borderId="4" xfId="7" applyNumberFormat="1" applyFont="1" applyFill="1" applyBorder="1" applyAlignment="1" applyProtection="1">
      <alignment vertical="top"/>
    </xf>
    <xf numFmtId="0" fontId="2" fillId="0" borderId="2" xfId="7" applyNumberFormat="1" applyFont="1" applyFill="1" applyBorder="1" applyAlignment="1" applyProtection="1">
      <alignment horizontal="centerContinuous" vertical="top"/>
    </xf>
    <xf numFmtId="0" fontId="7" fillId="0" borderId="2" xfId="7" applyNumberFormat="1" applyFont="1" applyFill="1" applyBorder="1" applyAlignment="1" applyProtection="1">
      <alignment vertical="top"/>
    </xf>
    <xf numFmtId="0" fontId="2" fillId="0" borderId="3" xfId="7" applyNumberFormat="1" applyFont="1" applyFill="1" applyBorder="1" applyAlignment="1" applyProtection="1">
      <alignment horizontal="centerContinuous" vertical="top"/>
    </xf>
    <xf numFmtId="0" fontId="7" fillId="0" borderId="4" xfId="7" applyNumberFormat="1" applyFont="1" applyFill="1" applyBorder="1" applyAlignment="1" applyProtection="1">
      <alignment vertical="top"/>
    </xf>
    <xf numFmtId="0" fontId="6" fillId="0" borderId="0" xfId="8" applyNumberFormat="1" applyFont="1" applyFill="1" applyBorder="1" applyAlignment="1" applyProtection="1">
      <alignment vertical="top"/>
    </xf>
    <xf numFmtId="0" fontId="7" fillId="0" borderId="0" xfId="8" applyNumberFormat="1" applyFont="1" applyFill="1" applyBorder="1" applyAlignment="1" applyProtection="1">
      <alignment vertical="top"/>
    </xf>
    <xf numFmtId="0" fontId="2" fillId="0" borderId="1" xfId="8" applyNumberFormat="1" applyFont="1" applyFill="1" applyBorder="1" applyAlignment="1" applyProtection="1">
      <alignment horizontal="centerContinuous" vertical="top"/>
    </xf>
    <xf numFmtId="0" fontId="2" fillId="0" borderId="1" xfId="8" applyNumberFormat="1" applyFont="1" applyFill="1" applyBorder="1" applyAlignment="1" applyProtection="1">
      <alignment horizontal="centerContinuous" vertical="top" wrapText="1"/>
    </xf>
    <xf numFmtId="0" fontId="7" fillId="0" borderId="3" xfId="8" applyNumberFormat="1" applyFont="1" applyFill="1" applyBorder="1" applyAlignment="1" applyProtection="1">
      <alignment vertical="top"/>
    </xf>
    <xf numFmtId="0" fontId="2" fillId="0" borderId="4" xfId="8" applyNumberFormat="1" applyFont="1" applyFill="1" applyBorder="1" applyAlignment="1" applyProtection="1">
      <alignment vertical="top"/>
    </xf>
    <xf numFmtId="0" fontId="7" fillId="0" borderId="2" xfId="8" applyNumberFormat="1" applyFont="1" applyFill="1" applyBorder="1" applyAlignment="1" applyProtection="1">
      <alignment vertical="top"/>
    </xf>
    <xf numFmtId="0" fontId="2" fillId="0" borderId="3" xfId="8" applyNumberFormat="1" applyFont="1" applyFill="1" applyBorder="1" applyAlignment="1" applyProtection="1">
      <alignment vertical="top"/>
    </xf>
    <xf numFmtId="0" fontId="2" fillId="0" borderId="3" xfId="8" applyNumberFormat="1" applyFont="1" applyFill="1" applyBorder="1" applyAlignment="1" applyProtection="1">
      <alignment horizontal="centerContinuous" vertical="top"/>
    </xf>
    <xf numFmtId="0" fontId="2" fillId="0" borderId="2" xfId="8" applyNumberFormat="1" applyFont="1" applyFill="1" applyBorder="1" applyAlignment="1" applyProtection="1">
      <alignment horizontal="centerContinuous" vertical="top"/>
    </xf>
    <xf numFmtId="0" fontId="7" fillId="0" borderId="3" xfId="8" applyNumberFormat="1" applyFont="1" applyFill="1" applyBorder="1" applyAlignment="1" applyProtection="1">
      <alignment horizontal="centerContinuous" vertical="top"/>
    </xf>
    <xf numFmtId="0" fontId="2" fillId="0" borderId="4" xfId="8" applyNumberFormat="1" applyFont="1" applyFill="1" applyBorder="1" applyAlignment="1" applyProtection="1">
      <alignment horizontal="centerContinuous" vertical="top"/>
    </xf>
    <xf numFmtId="0" fontId="7" fillId="0" borderId="4" xfId="8" applyNumberFormat="1" applyFont="1" applyFill="1" applyBorder="1" applyAlignment="1" applyProtection="1">
      <alignment vertical="top"/>
    </xf>
    <xf numFmtId="0" fontId="6" fillId="0" borderId="0" xfId="9" applyNumberFormat="1" applyFont="1" applyFill="1" applyBorder="1" applyAlignment="1" applyProtection="1">
      <alignment vertical="top"/>
    </xf>
    <xf numFmtId="0" fontId="7" fillId="0" borderId="0" xfId="9" applyNumberFormat="1" applyFont="1" applyFill="1" applyBorder="1" applyAlignment="1" applyProtection="1">
      <alignment vertical="top"/>
    </xf>
    <xf numFmtId="0" fontId="2" fillId="0" borderId="1" xfId="9" applyNumberFormat="1" applyFont="1" applyFill="1" applyBorder="1" applyAlignment="1" applyProtection="1">
      <alignment horizontal="centerContinuous" vertical="top"/>
    </xf>
    <xf numFmtId="0" fontId="2" fillId="0" borderId="1" xfId="9" applyNumberFormat="1" applyFont="1" applyFill="1" applyBorder="1" applyAlignment="1" applyProtection="1">
      <alignment horizontal="centerContinuous" vertical="top" wrapText="1"/>
    </xf>
    <xf numFmtId="0" fontId="7" fillId="0" borderId="3" xfId="9" applyNumberFormat="1" applyFont="1" applyFill="1" applyBorder="1" applyAlignment="1" applyProtection="1">
      <alignment vertical="top"/>
    </xf>
    <xf numFmtId="0" fontId="10" fillId="0" borderId="2" xfId="9" applyNumberFormat="1" applyFont="1" applyFill="1" applyBorder="1" applyAlignment="1" applyProtection="1">
      <alignment vertical="top"/>
    </xf>
    <xf numFmtId="0" fontId="10" fillId="0" borderId="3" xfId="9" applyNumberFormat="1" applyFont="1" applyFill="1" applyBorder="1" applyAlignment="1" applyProtection="1">
      <alignment vertical="top"/>
    </xf>
    <xf numFmtId="0" fontId="10" fillId="0" borderId="5" xfId="9" applyNumberFormat="1" applyFont="1" applyFill="1" applyBorder="1" applyAlignment="1" applyProtection="1">
      <alignment vertical="top"/>
    </xf>
    <xf numFmtId="0" fontId="10" fillId="0" borderId="6" xfId="9" applyNumberFormat="1" applyFont="1" applyFill="1" applyBorder="1" applyAlignment="1" applyProtection="1">
      <alignment vertical="top"/>
    </xf>
    <xf numFmtId="0" fontId="10" fillId="0" borderId="4" xfId="9" applyNumberFormat="1" applyFont="1" applyFill="1" applyBorder="1" applyAlignment="1" applyProtection="1">
      <alignment vertical="top"/>
    </xf>
    <xf numFmtId="0" fontId="7" fillId="0" borderId="4" xfId="9" applyNumberFormat="1" applyFont="1" applyFill="1" applyBorder="1" applyAlignment="1" applyProtection="1">
      <alignment vertical="top"/>
    </xf>
    <xf numFmtId="0" fontId="10" fillId="0" borderId="2" xfId="9" applyNumberFormat="1" applyFont="1" applyFill="1" applyBorder="1" applyAlignment="1" applyProtection="1">
      <alignment horizontal="centerContinuous" vertical="top"/>
    </xf>
    <xf numFmtId="0" fontId="7" fillId="0" borderId="2" xfId="9" applyNumberFormat="1" applyFont="1" applyFill="1" applyBorder="1" applyAlignment="1" applyProtection="1">
      <alignment vertical="top"/>
    </xf>
    <xf numFmtId="0" fontId="10" fillId="0" borderId="3" xfId="9" applyNumberFormat="1" applyFont="1" applyFill="1" applyBorder="1" applyAlignment="1" applyProtection="1">
      <alignment horizontal="centerContinuous" vertical="top"/>
    </xf>
    <xf numFmtId="0" fontId="10" fillId="0" borderId="4" xfId="9" applyNumberFormat="1" applyFont="1" applyFill="1" applyBorder="1" applyAlignment="1" applyProtection="1">
      <alignment horizontal="centerContinuous" vertical="top"/>
    </xf>
    <xf numFmtId="0" fontId="11" fillId="0" borderId="7" xfId="0" applyNumberFormat="1" applyFont="1" applyFill="1" applyBorder="1" applyAlignment="1" applyProtection="1">
      <alignment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1" fillId="0" borderId="8" xfId="0" applyNumberFormat="1" applyFont="1" applyFill="1" applyBorder="1" applyAlignment="1" applyProtection="1">
      <alignment vertical="top" wrapText="1"/>
    </xf>
    <xf numFmtId="0" fontId="11" fillId="0" borderId="7" xfId="0" applyNumberFormat="1" applyFont="1" applyFill="1" applyBorder="1" applyAlignment="1" applyProtection="1">
      <alignment horizontal="centerContinuous" vertical="top"/>
    </xf>
    <xf numFmtId="0" fontId="11" fillId="0" borderId="0" xfId="0" applyNumberFormat="1" applyFont="1" applyFill="1" applyBorder="1" applyAlignment="1" applyProtection="1">
      <alignment vertical="top" wrapText="1"/>
    </xf>
    <xf numFmtId="0" fontId="12" fillId="0" borderId="7" xfId="0" applyNumberFormat="1" applyFont="1" applyFill="1" applyBorder="1" applyAlignment="1" applyProtection="1">
      <alignment vertical="top"/>
    </xf>
    <xf numFmtId="0" fontId="11" fillId="0" borderId="7" xfId="0" applyNumberFormat="1" applyFont="1" applyFill="1" applyBorder="1" applyAlignment="1" applyProtection="1">
      <alignment vertical="top"/>
    </xf>
    <xf numFmtId="0" fontId="11" fillId="0" borderId="8" xfId="0" applyNumberFormat="1" applyFont="1" applyFill="1" applyBorder="1" applyAlignment="1" applyProtection="1">
      <alignment vertical="top"/>
    </xf>
    <xf numFmtId="0" fontId="11" fillId="0" borderId="9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164" fontId="0" fillId="0" borderId="0" xfId="0" applyNumberFormat="1"/>
    <xf numFmtId="164" fontId="0" fillId="0" borderId="0" xfId="0" applyNumberFormat="1" applyAlignment="1">
      <alignment horizontal="left" vertical="top"/>
    </xf>
    <xf numFmtId="2" fontId="0" fillId="0" borderId="0" xfId="0" applyNumberFormat="1"/>
    <xf numFmtId="0" fontId="13" fillId="0" borderId="0" xfId="12" applyNumberFormat="1" applyFont="1" applyFill="1" applyBorder="1" applyAlignment="1" applyProtection="1">
      <alignment vertical="top"/>
    </xf>
    <xf numFmtId="0" fontId="13" fillId="0" borderId="1" xfId="12" applyNumberFormat="1" applyFont="1" applyFill="1" applyBorder="1" applyAlignment="1" applyProtection="1">
      <alignment vertical="top" wrapText="1"/>
    </xf>
    <xf numFmtId="0" fontId="13" fillId="0" borderId="1" xfId="12" applyNumberFormat="1" applyFont="1" applyFill="1" applyBorder="1" applyAlignment="1" applyProtection="1">
      <alignment vertical="top"/>
    </xf>
    <xf numFmtId="0" fontId="2" fillId="0" borderId="10" xfId="5" applyNumberFormat="1" applyFont="1" applyFill="1" applyBorder="1" applyAlignment="1" applyProtection="1">
      <alignment horizontal="centerContinuous" vertical="top"/>
    </xf>
    <xf numFmtId="0" fontId="2" fillId="0" borderId="10" xfId="5" applyNumberFormat="1" applyFont="1" applyFill="1" applyBorder="1" applyAlignment="1" applyProtection="1">
      <alignment vertical="top" wrapText="1"/>
    </xf>
    <xf numFmtId="0" fontId="2" fillId="0" borderId="5" xfId="5" applyNumberFormat="1" applyFont="1" applyFill="1" applyBorder="1" applyAlignment="1" applyProtection="1">
      <alignment vertical="top"/>
    </xf>
    <xf numFmtId="0" fontId="7" fillId="0" borderId="5" xfId="5" applyNumberFormat="1" applyFont="1" applyFill="1" applyBorder="1" applyAlignment="1" applyProtection="1">
      <alignment vertical="top"/>
    </xf>
    <xf numFmtId="0" fontId="7" fillId="0" borderId="11" xfId="5" applyNumberFormat="1" applyFont="1" applyFill="1" applyBorder="1" applyAlignment="1" applyProtection="1">
      <alignment vertical="top"/>
    </xf>
    <xf numFmtId="0" fontId="2" fillId="0" borderId="12" xfId="5" applyNumberFormat="1" applyFont="1" applyFill="1" applyBorder="1" applyAlignment="1" applyProtection="1">
      <alignment vertical="top"/>
    </xf>
    <xf numFmtId="0" fontId="2" fillId="0" borderId="13" xfId="5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horizontal="left" vertical="top" wrapText="1"/>
    </xf>
    <xf numFmtId="0" fontId="4" fillId="0" borderId="2" xfId="7" applyNumberFormat="1" applyFont="1" applyFill="1" applyBorder="1" applyAlignment="1" applyProtection="1">
      <alignment vertical="top" wrapText="1"/>
    </xf>
    <xf numFmtId="0" fontId="2" fillId="0" borderId="2" xfId="7" applyNumberFormat="1" applyFont="1" applyFill="1" applyBorder="1" applyAlignment="1" applyProtection="1">
      <alignment vertical="top" wrapText="1"/>
    </xf>
    <xf numFmtId="0" fontId="16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Continuous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0" fillId="0" borderId="2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0" fillId="0" borderId="2" xfId="0" applyNumberFormat="1" applyFont="1" applyFill="1" applyBorder="1" applyAlignment="1" applyProtection="1">
      <alignment vertical="top"/>
    </xf>
    <xf numFmtId="49" fontId="2" fillId="0" borderId="3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vertical="top"/>
    </xf>
    <xf numFmtId="0" fontId="0" fillId="0" borderId="3" xfId="0" applyNumberFormat="1" applyFont="1" applyFill="1" applyBorder="1" applyAlignment="1" applyProtection="1">
      <alignment horizontal="center" vertical="top"/>
    </xf>
    <xf numFmtId="0" fontId="0" fillId="0" borderId="3" xfId="0" applyNumberFormat="1" applyFont="1" applyFill="1" applyBorder="1" applyAlignment="1" applyProtection="1">
      <alignment vertical="top"/>
    </xf>
    <xf numFmtId="0" fontId="3" fillId="0" borderId="3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right" vertical="top"/>
    </xf>
    <xf numFmtId="0" fontId="0" fillId="0" borderId="5" xfId="0" applyNumberFormat="1" applyFont="1" applyFill="1" applyBorder="1" applyAlignment="1" applyProtection="1">
      <alignment vertical="top"/>
    </xf>
    <xf numFmtId="0" fontId="0" fillId="0" borderId="6" xfId="0" applyNumberFormat="1" applyFont="1" applyFill="1" applyBorder="1" applyAlignment="1" applyProtection="1">
      <alignment vertical="top"/>
    </xf>
    <xf numFmtId="0" fontId="17" fillId="0" borderId="2" xfId="0" applyNumberFormat="1" applyFont="1" applyFill="1" applyBorder="1" applyAlignment="1" applyProtection="1">
      <alignment vertical="top"/>
    </xf>
    <xf numFmtId="0" fontId="17" fillId="0" borderId="3" xfId="0" applyNumberFormat="1" applyFont="1" applyFill="1" applyBorder="1" applyAlignment="1" applyProtection="1">
      <alignment horizontal="center" vertical="top"/>
    </xf>
    <xf numFmtId="0" fontId="17" fillId="0" borderId="3" xfId="0" applyNumberFormat="1" applyFont="1" applyFill="1" applyBorder="1" applyAlignment="1" applyProtection="1">
      <alignment vertical="top"/>
    </xf>
    <xf numFmtId="0" fontId="18" fillId="0" borderId="3" xfId="0" applyNumberFormat="1" applyFont="1" applyFill="1" applyBorder="1" applyAlignment="1" applyProtection="1">
      <alignment vertical="top"/>
    </xf>
    <xf numFmtId="0" fontId="0" fillId="0" borderId="0" xfId="0" applyAlignment="1">
      <alignment horizontal="center"/>
    </xf>
    <xf numFmtId="0" fontId="19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Continuous" vertical="top" wrapText="1"/>
    </xf>
    <xf numFmtId="49" fontId="2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0" fontId="20" fillId="0" borderId="0" xfId="13" applyNumberFormat="1" applyFont="1" applyFill="1" applyBorder="1" applyAlignment="1" applyProtection="1">
      <alignment vertical="top"/>
    </xf>
    <xf numFmtId="0" fontId="7" fillId="0" borderId="0" xfId="13" applyNumberFormat="1" applyFont="1" applyFill="1" applyBorder="1" applyAlignment="1" applyProtection="1">
      <alignment vertical="top"/>
    </xf>
    <xf numFmtId="2" fontId="7" fillId="0" borderId="0" xfId="13" applyNumberFormat="1" applyFont="1" applyFill="1" applyBorder="1" applyAlignment="1" applyProtection="1">
      <alignment vertical="top"/>
    </xf>
    <xf numFmtId="0" fontId="7" fillId="0" borderId="0" xfId="13" applyNumberFormat="1" applyFont="1" applyFill="1" applyBorder="1" applyAlignment="1" applyProtection="1">
      <alignment vertical="top" wrapText="1"/>
    </xf>
    <xf numFmtId="2" fontId="7" fillId="0" borderId="0" xfId="13" applyNumberFormat="1" applyFont="1" applyFill="1" applyBorder="1" applyAlignment="1" applyProtection="1">
      <alignment vertical="top" wrapText="1"/>
    </xf>
    <xf numFmtId="0" fontId="7" fillId="0" borderId="0" xfId="13" applyNumberFormat="1" applyFill="1" applyBorder="1" applyAlignment="1" applyProtection="1">
      <alignment vertical="top"/>
    </xf>
    <xf numFmtId="0" fontId="14" fillId="0" borderId="0" xfId="13" applyNumberFormat="1" applyFont="1" applyFill="1" applyBorder="1" applyAlignment="1" applyProtection="1">
      <alignment vertical="top"/>
    </xf>
    <xf numFmtId="0" fontId="7" fillId="0" borderId="0" xfId="13" applyNumberFormat="1" applyFill="1" applyBorder="1" applyAlignment="1" applyProtection="1">
      <alignment vertical="top" wrapText="1"/>
    </xf>
    <xf numFmtId="0" fontId="7" fillId="0" borderId="0" xfId="13" applyNumberFormat="1" applyFill="1" applyBorder="1" applyAlignment="1" applyProtection="1">
      <alignment horizontal="center" vertical="top"/>
    </xf>
    <xf numFmtId="0" fontId="7" fillId="0" borderId="0" xfId="13" applyNumberFormat="1" applyFont="1" applyFill="1" applyBorder="1" applyAlignment="1" applyProtection="1">
      <alignment horizontal="center" vertical="top"/>
    </xf>
    <xf numFmtId="0" fontId="21" fillId="0" borderId="0" xfId="13" applyNumberFormat="1" applyFont="1" applyFill="1" applyBorder="1" applyAlignment="1" applyProtection="1">
      <alignment vertical="top" wrapText="1"/>
    </xf>
    <xf numFmtId="0" fontId="21" fillId="0" borderId="0" xfId="13" applyNumberFormat="1" applyFont="1" applyFill="1" applyBorder="1" applyAlignment="1" applyProtection="1">
      <alignment vertical="top"/>
    </xf>
    <xf numFmtId="2" fontId="21" fillId="0" borderId="0" xfId="13" applyNumberFormat="1" applyFont="1" applyFill="1" applyBorder="1" applyAlignment="1" applyProtection="1">
      <alignment vertical="top"/>
    </xf>
    <xf numFmtId="2" fontId="21" fillId="0" borderId="0" xfId="13" applyNumberFormat="1" applyFont="1" applyFill="1" applyBorder="1" applyAlignment="1" applyProtection="1">
      <alignment vertical="top" wrapText="1"/>
    </xf>
    <xf numFmtId="0" fontId="14" fillId="0" borderId="0" xfId="7" applyNumberFormat="1" applyFont="1" applyFill="1" applyBorder="1" applyAlignment="1" applyProtection="1">
      <alignment vertical="top"/>
    </xf>
    <xf numFmtId="0" fontId="2" fillId="0" borderId="3" xfId="7" applyNumberFormat="1" applyFont="1" applyFill="1" applyBorder="1" applyAlignment="1" applyProtection="1">
      <alignment vertical="top" wrapText="1"/>
    </xf>
    <xf numFmtId="0" fontId="21" fillId="0" borderId="0" xfId="7" applyNumberFormat="1" applyFont="1" applyFill="1" applyBorder="1" applyAlignment="1" applyProtection="1">
      <alignment vertical="top"/>
    </xf>
    <xf numFmtId="2" fontId="21" fillId="0" borderId="0" xfId="7" applyNumberFormat="1" applyFont="1" applyFill="1" applyBorder="1" applyAlignment="1" applyProtection="1">
      <alignment vertical="top"/>
    </xf>
    <xf numFmtId="0" fontId="13" fillId="0" borderId="1" xfId="13" applyNumberFormat="1" applyFont="1" applyFill="1" applyBorder="1" applyAlignment="1" applyProtection="1">
      <alignment vertical="top" textRotation="90"/>
    </xf>
    <xf numFmtId="0" fontId="23" fillId="0" borderId="1" xfId="13" applyNumberFormat="1" applyFont="1" applyFill="1" applyBorder="1" applyAlignment="1" applyProtection="1">
      <alignment vertical="top" textRotation="90"/>
    </xf>
    <xf numFmtId="0" fontId="23" fillId="0" borderId="1" xfId="13" applyNumberFormat="1" applyFont="1" applyFill="1" applyBorder="1" applyAlignment="1" applyProtection="1">
      <alignment vertical="top" textRotation="90" wrapText="1"/>
    </xf>
    <xf numFmtId="0" fontId="13" fillId="0" borderId="1" xfId="13" applyNumberFormat="1" applyFont="1" applyFill="1" applyBorder="1" applyAlignment="1" applyProtection="1">
      <alignment vertical="top" textRotation="90" wrapText="1"/>
    </xf>
    <xf numFmtId="0" fontId="13" fillId="0" borderId="1" xfId="13" applyNumberFormat="1" applyFont="1" applyFill="1" applyBorder="1" applyAlignment="1" applyProtection="1">
      <alignment horizontal="center" vertical="top" textRotation="90" wrapText="1"/>
    </xf>
    <xf numFmtId="0" fontId="13" fillId="0" borderId="14" xfId="13" applyNumberFormat="1" applyFont="1" applyFill="1" applyBorder="1" applyAlignment="1" applyProtection="1">
      <alignment vertical="top"/>
    </xf>
    <xf numFmtId="0" fontId="13" fillId="0" borderId="1" xfId="13" applyNumberFormat="1" applyFont="1" applyFill="1" applyBorder="1" applyAlignment="1" applyProtection="1">
      <alignment vertical="top"/>
    </xf>
    <xf numFmtId="0" fontId="23" fillId="0" borderId="1" xfId="13" applyNumberFormat="1" applyFont="1" applyFill="1" applyBorder="1" applyAlignment="1" applyProtection="1">
      <alignment vertical="top"/>
    </xf>
    <xf numFmtId="0" fontId="13" fillId="0" borderId="10" xfId="13" applyNumberFormat="1" applyFont="1" applyFill="1" applyBorder="1" applyAlignment="1" applyProtection="1">
      <alignment vertical="top"/>
    </xf>
    <xf numFmtId="0" fontId="7" fillId="0" borderId="1" xfId="13" applyNumberFormat="1" applyFill="1" applyBorder="1" applyAlignment="1" applyProtection="1">
      <alignment vertical="top"/>
    </xf>
    <xf numFmtId="0" fontId="7" fillId="0" borderId="1" xfId="13" applyNumberFormat="1" applyFont="1" applyFill="1" applyBorder="1" applyAlignment="1" applyProtection="1">
      <alignment vertical="top"/>
    </xf>
    <xf numFmtId="0" fontId="26" fillId="0" borderId="1" xfId="13" applyNumberFormat="1" applyFont="1" applyFill="1" applyBorder="1" applyAlignment="1" applyProtection="1">
      <alignment vertical="top"/>
    </xf>
    <xf numFmtId="3" fontId="7" fillId="0" borderId="0" xfId="13" applyNumberFormat="1" applyFont="1" applyFill="1" applyBorder="1" applyAlignment="1" applyProtection="1">
      <alignment vertical="top"/>
    </xf>
    <xf numFmtId="0" fontId="7" fillId="0" borderId="0" xfId="13" applyNumberFormat="1" applyFill="1" applyBorder="1" applyAlignment="1" applyProtection="1">
      <alignment horizontal="right" vertical="top"/>
    </xf>
    <xf numFmtId="0" fontId="21" fillId="0" borderId="0" xfId="8" applyNumberFormat="1" applyFont="1" applyFill="1" applyBorder="1" applyAlignment="1" applyProtection="1">
      <alignment vertical="top"/>
    </xf>
    <xf numFmtId="2" fontId="21" fillId="0" borderId="0" xfId="8" applyNumberFormat="1" applyFont="1" applyFill="1" applyBorder="1" applyAlignment="1" applyProtection="1">
      <alignment vertical="top"/>
    </xf>
    <xf numFmtId="0" fontId="2" fillId="0" borderId="0" xfId="8" applyNumberFormat="1" applyFont="1" applyFill="1" applyBorder="1" applyAlignment="1" applyProtection="1">
      <alignment vertical="top"/>
    </xf>
    <xf numFmtId="0" fontId="23" fillId="0" borderId="0" xfId="12" applyNumberFormat="1" applyFont="1" applyFill="1" applyBorder="1" applyAlignment="1" applyProtection="1">
      <alignment vertical="top"/>
    </xf>
    <xf numFmtId="2" fontId="23" fillId="0" borderId="0" xfId="12" applyNumberFormat="1" applyFont="1" applyFill="1" applyBorder="1" applyAlignment="1" applyProtection="1">
      <alignment vertical="top"/>
    </xf>
    <xf numFmtId="0" fontId="29" fillId="0" borderId="0" xfId="13" applyNumberFormat="1" applyFont="1" applyFill="1" applyBorder="1" applyAlignment="1" applyProtection="1">
      <alignment vertical="top"/>
    </xf>
    <xf numFmtId="0" fontId="30" fillId="0" borderId="0" xfId="0" applyFont="1"/>
    <xf numFmtId="0" fontId="31" fillId="0" borderId="0" xfId="0" applyFont="1"/>
    <xf numFmtId="0" fontId="0" fillId="0" borderId="0" xfId="0" applyNumberFormat="1" applyFill="1" applyBorder="1" applyAlignment="1" applyProtection="1">
      <alignment vertical="top"/>
    </xf>
    <xf numFmtId="0" fontId="14" fillId="0" borderId="0" xfId="3" applyNumberFormat="1" applyFont="1" applyFill="1" applyBorder="1" applyAlignment="1" applyProtection="1">
      <alignment vertical="top"/>
    </xf>
    <xf numFmtId="0" fontId="7" fillId="0" borderId="0" xfId="3" applyNumberFormat="1" applyFont="1" applyFill="1" applyBorder="1" applyAlignment="1" applyProtection="1">
      <alignment vertical="top"/>
    </xf>
    <xf numFmtId="0" fontId="7" fillId="0" borderId="0" xfId="3" applyNumberFormat="1" applyFill="1" applyBorder="1" applyAlignment="1" applyProtection="1">
      <alignment vertical="top"/>
    </xf>
    <xf numFmtId="0" fontId="32" fillId="0" borderId="0" xfId="3" applyNumberFormat="1" applyFont="1" applyFill="1" applyBorder="1" applyAlignment="1" applyProtection="1">
      <alignment vertical="top"/>
    </xf>
    <xf numFmtId="0" fontId="35" fillId="0" borderId="0" xfId="3" applyNumberFormat="1" applyFont="1" applyFill="1" applyBorder="1" applyAlignment="1" applyProtection="1">
      <alignment vertical="top"/>
    </xf>
    <xf numFmtId="0" fontId="7" fillId="0" borderId="0" xfId="3" applyNumberFormat="1" applyFill="1" applyBorder="1" applyAlignment="1" applyProtection="1">
      <alignment horizontal="right" vertical="top"/>
    </xf>
    <xf numFmtId="0" fontId="36" fillId="0" borderId="0" xfId="3" applyNumberFormat="1" applyFont="1" applyFill="1" applyBorder="1" applyAlignment="1" applyProtection="1">
      <alignment vertical="top"/>
    </xf>
    <xf numFmtId="0" fontId="37" fillId="0" borderId="0" xfId="3" applyNumberFormat="1" applyFont="1" applyFill="1" applyBorder="1" applyAlignment="1" applyProtection="1">
      <alignment vertical="top"/>
    </xf>
    <xf numFmtId="0" fontId="7" fillId="0" borderId="0" xfId="3" applyNumberFormat="1" applyFill="1" applyBorder="1" applyAlignment="1" applyProtection="1">
      <alignment vertical="top" wrapText="1"/>
    </xf>
    <xf numFmtId="0" fontId="38" fillId="0" borderId="0" xfId="3" applyNumberFormat="1" applyFont="1" applyFill="1" applyBorder="1" applyAlignment="1" applyProtection="1">
      <alignment vertical="top"/>
    </xf>
    <xf numFmtId="0" fontId="7" fillId="0" borderId="8" xfId="3" applyNumberFormat="1" applyFont="1" applyFill="1" applyBorder="1" applyAlignment="1" applyProtection="1">
      <alignment vertical="top"/>
    </xf>
    <xf numFmtId="0" fontId="39" fillId="0" borderId="0" xfId="0" applyFont="1"/>
    <xf numFmtId="0" fontId="39" fillId="0" borderId="1" xfId="0" applyFont="1" applyBorder="1"/>
    <xf numFmtId="0" fontId="40" fillId="0" borderId="1" xfId="2" applyFont="1" applyFill="1" applyBorder="1"/>
    <xf numFmtId="0" fontId="40" fillId="0" borderId="1" xfId="2" applyFont="1" applyFill="1" applyBorder="1" applyAlignment="1">
      <alignment horizontal="center"/>
    </xf>
    <xf numFmtId="0" fontId="40" fillId="0" borderId="1" xfId="2" applyFont="1" applyFill="1" applyBorder="1" applyAlignment="1">
      <alignment horizontal="centerContinuous"/>
    </xf>
    <xf numFmtId="0" fontId="40" fillId="0" borderId="1" xfId="2" applyFont="1" applyFill="1" applyBorder="1" applyAlignment="1"/>
    <xf numFmtId="0" fontId="40" fillId="0" borderId="1" xfId="0" applyFont="1" applyBorder="1" applyAlignment="1">
      <alignment horizontal="center"/>
    </xf>
    <xf numFmtId="0" fontId="40" fillId="0" borderId="1" xfId="2" applyFont="1" applyFill="1" applyBorder="1" applyAlignment="1">
      <alignment wrapText="1"/>
    </xf>
    <xf numFmtId="0" fontId="26" fillId="0" borderId="1" xfId="0" applyFont="1" applyBorder="1" applyAlignment="1">
      <alignment wrapText="1"/>
    </xf>
    <xf numFmtId="0" fontId="13" fillId="0" borderId="1" xfId="0" applyFont="1" applyBorder="1" applyAlignment="1">
      <alignment horizontal="right"/>
    </xf>
    <xf numFmtId="0" fontId="13" fillId="0" borderId="1" xfId="0" applyFont="1" applyBorder="1" applyAlignment="1">
      <alignment horizontal="center" wrapText="1"/>
    </xf>
    <xf numFmtId="0" fontId="13" fillId="0" borderId="0" xfId="0" applyFont="1"/>
    <xf numFmtId="0" fontId="13" fillId="0" borderId="1" xfId="0" applyFont="1" applyBorder="1"/>
    <xf numFmtId="0" fontId="0" fillId="0" borderId="1" xfId="0" applyBorder="1" applyAlignment="1">
      <alignment horizontal="right"/>
    </xf>
    <xf numFmtId="0" fontId="26" fillId="0" borderId="0" xfId="0" applyFont="1" applyAlignment="1">
      <alignment wrapText="1"/>
    </xf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 wrapText="1"/>
    </xf>
    <xf numFmtId="0" fontId="40" fillId="0" borderId="0" xfId="2" applyFont="1" applyFill="1" applyBorder="1"/>
    <xf numFmtId="0" fontId="40" fillId="0" borderId="0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centerContinuous"/>
    </xf>
    <xf numFmtId="0" fontId="40" fillId="0" borderId="0" xfId="2" applyFont="1" applyFill="1" applyBorder="1" applyAlignment="1">
      <alignment horizontal="centerContinuous"/>
    </xf>
    <xf numFmtId="0" fontId="40" fillId="0" borderId="0" xfId="2" applyFont="1" applyFill="1" applyBorder="1" applyAlignment="1"/>
    <xf numFmtId="0" fontId="30" fillId="0" borderId="0" xfId="2" applyFont="1" applyFill="1" applyBorder="1" applyAlignment="1">
      <alignment horizontal="center"/>
    </xf>
    <xf numFmtId="0" fontId="40" fillId="0" borderId="0" xfId="0" applyFont="1" applyBorder="1" applyAlignment="1">
      <alignment horizontal="center"/>
    </xf>
    <xf numFmtId="0" fontId="40" fillId="0" borderId="0" xfId="2" applyFont="1" applyFill="1" applyBorder="1" applyAlignment="1">
      <alignment wrapText="1"/>
    </xf>
    <xf numFmtId="49" fontId="1" fillId="0" borderId="0" xfId="2" applyNumberFormat="1" applyFont="1" applyFill="1"/>
    <xf numFmtId="49" fontId="1" fillId="0" borderId="0" xfId="2" applyNumberFormat="1" applyFill="1"/>
    <xf numFmtId="0" fontId="0" fillId="0" borderId="0" xfId="0" applyAlignment="1">
      <alignment horizontal="center" wrapText="1"/>
    </xf>
    <xf numFmtId="0" fontId="1" fillId="0" borderId="0" xfId="2" applyNumberFormat="1" applyFont="1" applyFill="1"/>
    <xf numFmtId="0" fontId="1" fillId="0" borderId="0" xfId="2" applyNumberFormat="1" applyFill="1"/>
    <xf numFmtId="165" fontId="7" fillId="0" borderId="0" xfId="3" applyNumberFormat="1" applyFont="1" applyFill="1" applyBorder="1" applyAlignment="1" applyProtection="1">
      <alignment vertical="top"/>
    </xf>
    <xf numFmtId="0" fontId="7" fillId="0" borderId="0" xfId="3" applyNumberFormat="1" applyFill="1" applyBorder="1" applyAlignment="1" applyProtection="1">
      <alignment horizontal="center" vertical="top"/>
    </xf>
    <xf numFmtId="9" fontId="7" fillId="0" borderId="0" xfId="3" applyNumberFormat="1" applyFont="1" applyFill="1" applyBorder="1" applyAlignment="1" applyProtection="1">
      <alignment horizontal="center" vertical="top"/>
    </xf>
    <xf numFmtId="0" fontId="7" fillId="0" borderId="0" xfId="3" applyNumberFormat="1" applyFont="1" applyFill="1" applyBorder="1" applyAlignment="1" applyProtection="1">
      <alignment horizontal="center" vertical="top"/>
    </xf>
    <xf numFmtId="2" fontId="7" fillId="0" borderId="0" xfId="3" applyNumberFormat="1" applyFont="1" applyFill="1" applyBorder="1" applyAlignment="1" applyProtection="1">
      <alignment horizontal="center" vertical="top"/>
    </xf>
    <xf numFmtId="2" fontId="7" fillId="0" borderId="0" xfId="3" applyNumberFormat="1" applyFill="1" applyBorder="1" applyAlignment="1" applyProtection="1">
      <alignment horizontal="center" vertical="top"/>
    </xf>
    <xf numFmtId="2" fontId="7" fillId="0" borderId="0" xfId="3" applyNumberFormat="1" applyFont="1" applyFill="1" applyBorder="1" applyAlignment="1" applyProtection="1">
      <alignment vertical="top"/>
    </xf>
    <xf numFmtId="0" fontId="7" fillId="0" borderId="8" xfId="3" applyNumberFormat="1" applyFill="1" applyBorder="1" applyAlignment="1" applyProtection="1">
      <alignment vertical="top"/>
    </xf>
    <xf numFmtId="2" fontId="7" fillId="0" borderId="8" xfId="3" applyNumberFormat="1" applyFont="1" applyFill="1" applyBorder="1" applyAlignment="1" applyProtection="1">
      <alignment vertical="top"/>
    </xf>
    <xf numFmtId="49" fontId="7" fillId="0" borderId="0" xfId="3" applyNumberFormat="1" applyFill="1" applyBorder="1" applyAlignment="1" applyProtection="1">
      <alignment vertical="top"/>
    </xf>
    <xf numFmtId="0" fontId="7" fillId="0" borderId="9" xfId="3" applyNumberFormat="1" applyFont="1" applyFill="1" applyBorder="1" applyAlignment="1" applyProtection="1">
      <alignment vertical="top"/>
    </xf>
    <xf numFmtId="0" fontId="7" fillId="0" borderId="9" xfId="3" applyNumberFormat="1" applyFill="1" applyBorder="1" applyAlignment="1" applyProtection="1">
      <alignment vertical="top"/>
    </xf>
    <xf numFmtId="2" fontId="7" fillId="0" borderId="9" xfId="3" applyNumberFormat="1" applyFont="1" applyFill="1" applyBorder="1" applyAlignment="1" applyProtection="1">
      <alignment vertical="top"/>
    </xf>
    <xf numFmtId="0" fontId="7" fillId="0" borderId="0" xfId="3" applyNumberFormat="1" applyFont="1" applyFill="1" applyBorder="1" applyAlignment="1" applyProtection="1">
      <alignment horizontal="right" vertical="top"/>
    </xf>
    <xf numFmtId="49" fontId="7" fillId="0" borderId="0" xfId="3" applyNumberFormat="1" applyFill="1" applyBorder="1" applyAlignment="1" applyProtection="1">
      <alignment horizontal="right" vertical="top"/>
    </xf>
    <xf numFmtId="9" fontId="7" fillId="0" borderId="0" xfId="3" applyNumberFormat="1" applyFont="1" applyFill="1" applyBorder="1" applyAlignment="1" applyProtection="1">
      <alignment vertical="top"/>
    </xf>
    <xf numFmtId="0" fontId="14" fillId="0" borderId="8" xfId="3" applyNumberFormat="1" applyFont="1" applyFill="1" applyBorder="1" applyAlignment="1" applyProtection="1">
      <alignment vertical="top"/>
    </xf>
    <xf numFmtId="9" fontId="14" fillId="0" borderId="0" xfId="3" applyNumberFormat="1" applyFont="1" applyFill="1" applyBorder="1" applyAlignment="1" applyProtection="1">
      <alignment vertical="top"/>
    </xf>
    <xf numFmtId="0" fontId="40" fillId="0" borderId="0" xfId="3" applyFont="1" applyAlignment="1"/>
    <xf numFmtId="0" fontId="30" fillId="0" borderId="0" xfId="3" applyFont="1" applyAlignment="1"/>
    <xf numFmtId="0" fontId="7" fillId="0" borderId="11" xfId="3" applyNumberFormat="1" applyFill="1" applyBorder="1" applyAlignment="1" applyProtection="1">
      <alignment horizontal="center" vertical="top"/>
    </xf>
    <xf numFmtId="0" fontId="7" fillId="0" borderId="9" xfId="3" applyNumberFormat="1" applyFill="1" applyBorder="1" applyAlignment="1" applyProtection="1">
      <alignment horizontal="center" vertical="top"/>
    </xf>
    <xf numFmtId="0" fontId="7" fillId="0" borderId="15" xfId="3" applyNumberFormat="1" applyFill="1" applyBorder="1" applyAlignment="1" applyProtection="1">
      <alignment horizontal="center" vertical="top"/>
    </xf>
    <xf numFmtId="0" fontId="7" fillId="0" borderId="3" xfId="3" applyNumberFormat="1" applyFont="1" applyFill="1" applyBorder="1" applyAlignment="1" applyProtection="1">
      <alignment vertical="top"/>
    </xf>
    <xf numFmtId="0" fontId="7" fillId="0" borderId="3" xfId="3" applyNumberFormat="1" applyFill="1" applyBorder="1" applyAlignment="1" applyProtection="1">
      <alignment vertical="top"/>
    </xf>
    <xf numFmtId="0" fontId="7" fillId="0" borderId="5" xfId="3" applyNumberFormat="1" applyFont="1" applyFill="1" applyBorder="1" applyAlignment="1" applyProtection="1">
      <alignment vertical="top"/>
    </xf>
    <xf numFmtId="0" fontId="7" fillId="0" borderId="6" xfId="3" applyNumberFormat="1" applyFont="1" applyFill="1" applyBorder="1" applyAlignment="1" applyProtection="1">
      <alignment vertical="top"/>
    </xf>
    <xf numFmtId="0" fontId="7" fillId="0" borderId="4" xfId="3" applyNumberFormat="1" applyFill="1" applyBorder="1" applyAlignment="1" applyProtection="1">
      <alignment vertical="top"/>
    </xf>
    <xf numFmtId="0" fontId="7" fillId="0" borderId="11" xfId="3" applyNumberFormat="1" applyFont="1" applyFill="1" applyBorder="1" applyAlignment="1" applyProtection="1">
      <alignment vertical="top"/>
    </xf>
    <xf numFmtId="0" fontId="7" fillId="0" borderId="15" xfId="3" applyNumberFormat="1" applyFont="1" applyFill="1" applyBorder="1" applyAlignment="1" applyProtection="1">
      <alignment vertical="top"/>
    </xf>
    <xf numFmtId="0" fontId="7" fillId="0" borderId="0" xfId="3" applyNumberFormat="1" applyFont="1" applyFill="1" applyBorder="1" applyAlignment="1" applyProtection="1">
      <alignment horizontal="center" vertical="top" wrapText="1"/>
    </xf>
    <xf numFmtId="0" fontId="20" fillId="0" borderId="0" xfId="3" applyNumberFormat="1" applyFont="1" applyFill="1" applyBorder="1" applyAlignment="1" applyProtection="1">
      <alignment vertical="top"/>
    </xf>
    <xf numFmtId="0" fontId="21" fillId="0" borderId="0" xfId="3" applyNumberFormat="1" applyFont="1" applyFill="1" applyBorder="1" applyAlignment="1" applyProtection="1">
      <alignment vertical="top"/>
    </xf>
    <xf numFmtId="0" fontId="44" fillId="0" borderId="0" xfId="11" applyNumberFormat="1" applyFont="1" applyAlignment="1">
      <alignment horizontal="left"/>
    </xf>
    <xf numFmtId="0" fontId="44" fillId="0" borderId="0" xfId="11" applyNumberFormat="1" applyFont="1" applyAlignment="1">
      <alignment horizontal="left" wrapText="1"/>
    </xf>
    <xf numFmtId="3" fontId="7" fillId="0" borderId="0" xfId="3" applyNumberFormat="1" applyFont="1" applyFill="1" applyBorder="1" applyAlignment="1" applyProtection="1">
      <alignment vertical="top"/>
    </xf>
    <xf numFmtId="164" fontId="7" fillId="0" borderId="0" xfId="3" applyNumberFormat="1" applyFont="1" applyFill="1" applyBorder="1" applyAlignment="1" applyProtection="1">
      <alignment vertical="top"/>
    </xf>
    <xf numFmtId="165" fontId="44" fillId="0" borderId="0" xfId="11" applyNumberFormat="1" applyFont="1" applyAlignment="1">
      <alignment horizontal="right"/>
    </xf>
    <xf numFmtId="0" fontId="44" fillId="0" borderId="0" xfId="11" applyNumberFormat="1" applyFont="1" applyAlignment="1">
      <alignment horizontal="right"/>
    </xf>
    <xf numFmtId="0" fontId="7" fillId="0" borderId="0" xfId="3" applyNumberFormat="1" applyFont="1" applyFill="1" applyBorder="1" applyAlignment="1" applyProtection="1">
      <alignment vertical="top" wrapText="1"/>
    </xf>
    <xf numFmtId="2" fontId="36" fillId="0" borderId="0" xfId="3" applyNumberFormat="1" applyFont="1" applyFill="1" applyBorder="1" applyAlignment="1" applyProtection="1">
      <alignment vertical="top"/>
    </xf>
    <xf numFmtId="2" fontId="44" fillId="0" borderId="0" xfId="11" applyNumberFormat="1" applyFont="1" applyAlignment="1">
      <alignment horizontal="right"/>
    </xf>
    <xf numFmtId="164" fontId="36" fillId="0" borderId="0" xfId="3" applyNumberFormat="1" applyFont="1" applyFill="1" applyBorder="1" applyAlignment="1" applyProtection="1">
      <alignment vertical="top"/>
    </xf>
    <xf numFmtId="0" fontId="7" fillId="0" borderId="0" xfId="3" applyNumberFormat="1" applyFont="1" applyFill="1" applyBorder="1" applyAlignment="1" applyProtection="1">
      <alignment horizontal="left" vertical="top"/>
    </xf>
    <xf numFmtId="2" fontId="7" fillId="0" borderId="0" xfId="3" applyNumberFormat="1" applyFont="1" applyFill="1" applyBorder="1" applyAlignment="1" applyProtection="1">
      <alignment vertical="top" wrapText="1"/>
    </xf>
    <xf numFmtId="0" fontId="7" fillId="0" borderId="0" xfId="3" applyNumberFormat="1" applyFont="1" applyFill="1" applyBorder="1" applyAlignment="1" applyProtection="1">
      <alignment horizontal="left" vertical="top" wrapText="1"/>
    </xf>
    <xf numFmtId="0" fontId="45" fillId="0" borderId="0" xfId="3" applyNumberFormat="1" applyFont="1" applyFill="1" applyBorder="1" applyAlignment="1" applyProtection="1">
      <alignment vertical="top" wrapText="1"/>
    </xf>
    <xf numFmtId="1" fontId="7" fillId="0" borderId="0" xfId="3" applyNumberFormat="1" applyFont="1" applyFill="1" applyBorder="1" applyAlignment="1" applyProtection="1">
      <alignment vertical="top"/>
    </xf>
    <xf numFmtId="1" fontId="44" fillId="0" borderId="0" xfId="11" applyNumberFormat="1" applyFont="1" applyAlignment="1">
      <alignment horizontal="right"/>
    </xf>
    <xf numFmtId="2" fontId="45" fillId="0" borderId="0" xfId="3" applyNumberFormat="1" applyFont="1" applyFill="1" applyBorder="1" applyAlignment="1" applyProtection="1">
      <alignment vertical="top"/>
    </xf>
    <xf numFmtId="0" fontId="7" fillId="0" borderId="8" xfId="3" applyNumberFormat="1" applyFont="1" applyFill="1" applyBorder="1" applyAlignment="1" applyProtection="1">
      <alignment vertical="top" wrapText="1"/>
    </xf>
    <xf numFmtId="0" fontId="46" fillId="0" borderId="0" xfId="10" applyFont="1"/>
    <xf numFmtId="0" fontId="2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7" fillId="2" borderId="0" xfId="3" applyNumberFormat="1" applyFont="1" applyFill="1" applyBorder="1" applyAlignment="1" applyProtection="1">
      <alignment vertical="top"/>
    </xf>
    <xf numFmtId="0" fontId="47" fillId="0" borderId="0" xfId="0" applyFont="1"/>
    <xf numFmtId="0" fontId="30" fillId="0" borderId="0" xfId="0" applyFont="1" applyAlignment="1">
      <alignment wrapText="1"/>
    </xf>
    <xf numFmtId="0" fontId="30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3" borderId="0" xfId="0" applyFill="1"/>
    <xf numFmtId="0" fontId="0" fillId="0" borderId="0" xfId="0" applyAlignment="1">
      <alignment wrapText="1"/>
    </xf>
    <xf numFmtId="0" fontId="1" fillId="0" borderId="0" xfId="4"/>
    <xf numFmtId="0" fontId="30" fillId="0" borderId="0" xfId="4" applyFont="1"/>
    <xf numFmtId="49" fontId="48" fillId="0" borderId="0" xfId="2" applyNumberFormat="1" applyFont="1" applyFill="1" applyAlignment="1">
      <alignment horizontal="center"/>
    </xf>
    <xf numFmtId="0" fontId="1" fillId="0" borderId="0" xfId="4" applyNumberFormat="1"/>
    <xf numFmtId="0" fontId="5" fillId="0" borderId="0" xfId="1"/>
    <xf numFmtId="2" fontId="5" fillId="0" borderId="0" xfId="1" applyNumberFormat="1"/>
    <xf numFmtId="2" fontId="5" fillId="0" borderId="0" xfId="1" applyNumberFormat="1" applyFont="1"/>
    <xf numFmtId="0" fontId="5" fillId="4" borderId="0" xfId="1" applyFill="1"/>
    <xf numFmtId="2" fontId="5" fillId="4" borderId="0" xfId="1" applyNumberFormat="1" applyFill="1"/>
    <xf numFmtId="0" fontId="5" fillId="0" borderId="0" xfId="0" applyFont="1"/>
    <xf numFmtId="0" fontId="2" fillId="0" borderId="2" xfId="0" applyNumberFormat="1" applyFont="1" applyFill="1" applyBorder="1" applyAlignment="1" applyProtection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2" fillId="0" borderId="10" xfId="0" applyNumberFormat="1" applyFont="1" applyFill="1" applyBorder="1" applyAlignment="1" applyProtection="1">
      <alignment horizontal="center" vertical="top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14" xfId="0" applyNumberFormat="1" applyFont="1" applyFill="1" applyBorder="1" applyAlignment="1" applyProtection="1">
      <alignment horizontal="center" vertical="top"/>
    </xf>
    <xf numFmtId="0" fontId="0" fillId="0" borderId="3" xfId="0" applyBorder="1" applyAlignment="1">
      <alignment horizontal="left" vertical="top" wrapText="1"/>
    </xf>
    <xf numFmtId="0" fontId="2" fillId="0" borderId="16" xfId="0" applyNumberFormat="1" applyFont="1" applyFill="1" applyBorder="1" applyAlignment="1" applyProtection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2" fillId="0" borderId="16" xfId="0" applyNumberFormat="1" applyFont="1" applyFill="1" applyBorder="1" applyAlignment="1" applyProtection="1">
      <alignment horizontal="left" vertical="top" wrapText="1"/>
    </xf>
    <xf numFmtId="0" fontId="14" fillId="0" borderId="16" xfId="5" applyNumberFormat="1" applyFont="1" applyFill="1" applyBorder="1" applyAlignment="1" applyProtection="1">
      <alignment horizontal="center" vertical="top"/>
    </xf>
    <xf numFmtId="0" fontId="14" fillId="0" borderId="8" xfId="5" applyNumberFormat="1" applyFont="1" applyFill="1" applyBorder="1" applyAlignment="1" applyProtection="1">
      <alignment horizontal="center" vertical="top"/>
    </xf>
    <xf numFmtId="0" fontId="14" fillId="0" borderId="18" xfId="5" applyNumberFormat="1" applyFont="1" applyFill="1" applyBorder="1" applyAlignment="1" applyProtection="1">
      <alignment horizontal="center" vertical="top"/>
    </xf>
    <xf numFmtId="0" fontId="14" fillId="0" borderId="17" xfId="5" applyNumberFormat="1" applyFont="1" applyFill="1" applyBorder="1" applyAlignment="1" applyProtection="1">
      <alignment horizontal="center" vertical="top"/>
    </xf>
    <xf numFmtId="0" fontId="2" fillId="0" borderId="2" xfId="5" applyNumberFormat="1" applyFont="1" applyFill="1" applyBorder="1" applyAlignment="1" applyProtection="1">
      <alignment vertical="top" wrapText="1"/>
    </xf>
    <xf numFmtId="0" fontId="0" fillId="0" borderId="4" xfId="0" applyBorder="1" applyAlignment="1">
      <alignment vertical="top" wrapText="1"/>
    </xf>
    <xf numFmtId="0" fontId="2" fillId="0" borderId="19" xfId="5" applyNumberFormat="1" applyFont="1" applyFill="1" applyBorder="1" applyAlignment="1" applyProtection="1">
      <alignment vertical="top" wrapText="1"/>
    </xf>
    <xf numFmtId="0" fontId="0" fillId="0" borderId="13" xfId="0" applyBorder="1" applyAlignment="1">
      <alignment vertical="top" wrapText="1"/>
    </xf>
    <xf numFmtId="0" fontId="2" fillId="0" borderId="2" xfId="6" applyNumberFormat="1" applyFont="1" applyFill="1" applyBorder="1" applyAlignment="1" applyProtection="1">
      <alignment vertical="top" wrapText="1"/>
    </xf>
    <xf numFmtId="0" fontId="2" fillId="0" borderId="2" xfId="7" applyNumberFormat="1" applyFont="1" applyFill="1" applyBorder="1" applyAlignment="1" applyProtection="1">
      <alignment vertical="top" wrapText="1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4" fillId="0" borderId="2" xfId="7" applyNumberFormat="1" applyFont="1" applyFill="1" applyBorder="1" applyAlignment="1" applyProtection="1">
      <alignment vertical="top" wrapText="1"/>
    </xf>
    <xf numFmtId="0" fontId="7" fillId="0" borderId="11" xfId="7" applyNumberFormat="1" applyFont="1" applyFill="1" applyBorder="1" applyAlignment="1" applyProtection="1">
      <alignment horizontal="center" vertical="top"/>
    </xf>
    <xf numFmtId="0" fontId="7" fillId="0" borderId="15" xfId="7" applyNumberFormat="1" applyFont="1" applyFill="1" applyBorder="1" applyAlignment="1" applyProtection="1">
      <alignment horizontal="center" vertical="top"/>
    </xf>
    <xf numFmtId="0" fontId="2" fillId="0" borderId="5" xfId="7" applyNumberFormat="1" applyFont="1" applyFill="1" applyBorder="1" applyAlignment="1" applyProtection="1">
      <alignment horizontal="center" vertical="top"/>
    </xf>
    <xf numFmtId="0" fontId="7" fillId="0" borderId="6" xfId="7" applyNumberFormat="1" applyFont="1" applyFill="1" applyBorder="1" applyAlignment="1" applyProtection="1">
      <alignment horizontal="center" vertical="top"/>
    </xf>
    <xf numFmtId="0" fontId="2" fillId="0" borderId="10" xfId="7" applyNumberFormat="1" applyFont="1" applyFill="1" applyBorder="1" applyAlignment="1" applyProtection="1">
      <alignment horizontal="center" vertical="top" wrapText="1"/>
    </xf>
    <xf numFmtId="0" fontId="2" fillId="0" borderId="14" xfId="7" applyNumberFormat="1" applyFont="1" applyFill="1" applyBorder="1" applyAlignment="1" applyProtection="1">
      <alignment horizontal="center" vertical="top" wrapText="1"/>
    </xf>
    <xf numFmtId="0" fontId="2" fillId="0" borderId="2" xfId="8" applyNumberFormat="1" applyFont="1" applyFill="1" applyBorder="1" applyAlignment="1" applyProtection="1">
      <alignment vertical="top" wrapText="1"/>
    </xf>
    <xf numFmtId="0" fontId="2" fillId="0" borderId="10" xfId="8" applyNumberFormat="1" applyFont="1" applyFill="1" applyBorder="1" applyAlignment="1" applyProtection="1">
      <alignment horizontal="center" vertical="top" wrapText="1"/>
    </xf>
    <xf numFmtId="0" fontId="2" fillId="0" borderId="14" xfId="8" applyNumberFormat="1" applyFont="1" applyFill="1" applyBorder="1" applyAlignment="1" applyProtection="1">
      <alignment horizontal="center" vertical="top" wrapText="1"/>
    </xf>
    <xf numFmtId="0" fontId="4" fillId="0" borderId="2" xfId="8" applyNumberFormat="1" applyFont="1" applyFill="1" applyBorder="1" applyAlignment="1" applyProtection="1">
      <alignment vertical="top" wrapText="1"/>
    </xf>
    <xf numFmtId="0" fontId="2" fillId="0" borderId="2" xfId="9" applyNumberFormat="1" applyFont="1" applyFill="1" applyBorder="1" applyAlignment="1" applyProtection="1">
      <alignment vertical="top" wrapText="1"/>
    </xf>
    <xf numFmtId="0" fontId="4" fillId="0" borderId="2" xfId="9" applyNumberFormat="1" applyFont="1" applyFill="1" applyBorder="1" applyAlignment="1" applyProtection="1">
      <alignment vertical="top" wrapText="1"/>
    </xf>
    <xf numFmtId="0" fontId="2" fillId="0" borderId="2" xfId="0" applyNumberFormat="1" applyFont="1" applyFill="1" applyBorder="1" applyAlignment="1" applyProtection="1">
      <alignment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0" fillId="0" borderId="6" xfId="0" applyBorder="1" applyAlignment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vertical="top"/>
    </xf>
    <xf numFmtId="0" fontId="2" fillId="0" borderId="6" xfId="0" applyNumberFormat="1" applyFont="1" applyFill="1" applyBorder="1" applyAlignment="1" applyProtection="1">
      <alignment vertical="top"/>
    </xf>
    <xf numFmtId="0" fontId="2" fillId="0" borderId="11" xfId="0" applyNumberFormat="1" applyFont="1" applyFill="1" applyBorder="1" applyAlignment="1" applyProtection="1">
      <alignment horizontal="center" vertical="top"/>
    </xf>
    <xf numFmtId="0" fontId="2" fillId="0" borderId="15" xfId="0" applyNumberFormat="1" applyFont="1" applyFill="1" applyBorder="1" applyAlignment="1" applyProtection="1">
      <alignment horizontal="center" vertical="top"/>
    </xf>
    <xf numFmtId="0" fontId="0" fillId="0" borderId="5" xfId="0" applyNumberFormat="1" applyFont="1" applyFill="1" applyBorder="1" applyAlignment="1" applyProtection="1">
      <alignment vertical="top"/>
    </xf>
    <xf numFmtId="0" fontId="0" fillId="0" borderId="6" xfId="0" applyNumberFormat="1" applyFont="1" applyFill="1" applyBorder="1" applyAlignment="1" applyProtection="1">
      <alignment vertical="top"/>
    </xf>
    <xf numFmtId="0" fontId="0" fillId="0" borderId="11" xfId="0" applyNumberFormat="1" applyFont="1" applyFill="1" applyBorder="1" applyAlignment="1" applyProtection="1">
      <alignment vertical="top"/>
    </xf>
    <xf numFmtId="0" fontId="0" fillId="0" borderId="15" xfId="0" applyNumberFormat="1" applyFont="1" applyFill="1" applyBorder="1" applyAlignment="1" applyProtection="1">
      <alignment vertical="top"/>
    </xf>
    <xf numFmtId="0" fontId="17" fillId="0" borderId="5" xfId="0" applyNumberFormat="1" applyFont="1" applyFill="1" applyBorder="1" applyAlignment="1" applyProtection="1">
      <alignment vertical="top"/>
    </xf>
    <xf numFmtId="0" fontId="17" fillId="0" borderId="6" xfId="0" applyNumberFormat="1" applyFont="1" applyFill="1" applyBorder="1" applyAlignment="1" applyProtection="1">
      <alignment vertical="top"/>
    </xf>
    <xf numFmtId="0" fontId="2" fillId="0" borderId="16" xfId="0" applyNumberFormat="1" applyFont="1" applyFill="1" applyBorder="1" applyAlignment="1" applyProtection="1">
      <alignment vertical="top"/>
    </xf>
    <xf numFmtId="0" fontId="0" fillId="0" borderId="17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3" xfId="0" applyBorder="1" applyAlignment="1">
      <alignment vertical="top" wrapText="1"/>
    </xf>
    <xf numFmtId="0" fontId="2" fillId="0" borderId="10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14" xfId="0" applyNumberFormat="1" applyFont="1" applyFill="1" applyBorder="1" applyAlignment="1" applyProtection="1">
      <alignment horizontal="center" vertical="top" wrapText="1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13" fillId="0" borderId="1" xfId="0" applyFont="1" applyBorder="1" applyAlignment="1">
      <alignment horizontal="right"/>
    </xf>
    <xf numFmtId="0" fontId="13" fillId="0" borderId="1" xfId="0" applyFont="1" applyBorder="1" applyAlignment="1">
      <alignment horizontal="center" wrapText="1"/>
    </xf>
    <xf numFmtId="0" fontId="40" fillId="0" borderId="1" xfId="2" applyFont="1" applyFill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7" fillId="0" borderId="0" xfId="13" applyNumberFormat="1" applyFill="1" applyBorder="1" applyAlignment="1" applyProtection="1">
      <alignment horizontal="center" vertical="top"/>
    </xf>
    <xf numFmtId="0" fontId="7" fillId="0" borderId="0" xfId="13" applyNumberFormat="1" applyFont="1" applyFill="1" applyBorder="1" applyAlignment="1" applyProtection="1">
      <alignment horizontal="center" vertical="top"/>
    </xf>
    <xf numFmtId="0" fontId="13" fillId="0" borderId="10" xfId="12" applyNumberFormat="1" applyFont="1" applyFill="1" applyBorder="1" applyAlignment="1" applyProtection="1">
      <alignment vertical="top"/>
    </xf>
    <xf numFmtId="0" fontId="13" fillId="0" borderId="7" xfId="12" applyNumberFormat="1" applyFont="1" applyFill="1" applyBorder="1" applyAlignment="1" applyProtection="1">
      <alignment vertical="top"/>
    </xf>
    <xf numFmtId="0" fontId="13" fillId="0" borderId="14" xfId="12" applyNumberFormat="1" applyFont="1" applyFill="1" applyBorder="1" applyAlignment="1" applyProtection="1">
      <alignment vertical="top"/>
    </xf>
    <xf numFmtId="0" fontId="13" fillId="0" borderId="10" xfId="12" applyNumberFormat="1" applyFont="1" applyFill="1" applyBorder="1" applyAlignment="1" applyProtection="1">
      <alignment vertical="top" wrapText="1"/>
    </xf>
    <xf numFmtId="0" fontId="13" fillId="0" borderId="7" xfId="12" applyNumberFormat="1" applyFont="1" applyFill="1" applyBorder="1" applyAlignment="1" applyProtection="1">
      <alignment vertical="top" wrapText="1"/>
    </xf>
    <xf numFmtId="0" fontId="13" fillId="0" borderId="14" xfId="12" applyNumberFormat="1" applyFont="1" applyFill="1" applyBorder="1" applyAlignment="1" applyProtection="1">
      <alignment vertical="top" wrapText="1"/>
    </xf>
    <xf numFmtId="0" fontId="11" fillId="0" borderId="8" xfId="0" applyNumberFormat="1" applyFont="1" applyFill="1" applyBorder="1" applyAlignment="1" applyProtection="1">
      <alignment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11" fillId="0" borderId="9" xfId="0" applyNumberFormat="1" applyFont="1" applyFill="1" applyBorder="1" applyAlignment="1" applyProtection="1">
      <alignment vertical="top" wrapText="1"/>
    </xf>
    <xf numFmtId="0" fontId="7" fillId="0" borderId="2" xfId="3" applyNumberFormat="1" applyFill="1" applyBorder="1" applyAlignment="1" applyProtection="1">
      <alignment vertical="top" wrapText="1"/>
    </xf>
    <xf numFmtId="0" fontId="7" fillId="0" borderId="4" xfId="3" applyNumberFormat="1" applyFont="1" applyFill="1" applyBorder="1" applyAlignment="1" applyProtection="1">
      <alignment vertical="top"/>
    </xf>
    <xf numFmtId="0" fontId="7" fillId="0" borderId="16" xfId="3" applyNumberFormat="1" applyFill="1" applyBorder="1" applyAlignment="1" applyProtection="1">
      <alignment horizontal="center" vertical="top"/>
    </xf>
    <xf numFmtId="0" fontId="7" fillId="0" borderId="8" xfId="3" applyNumberFormat="1" applyFont="1" applyFill="1" applyBorder="1" applyAlignment="1" applyProtection="1">
      <alignment horizontal="center" vertical="top"/>
    </xf>
    <xf numFmtId="0" fontId="7" fillId="0" borderId="8" xfId="3" applyNumberFormat="1" applyFill="1" applyBorder="1" applyAlignment="1" applyProtection="1">
      <alignment horizontal="center" vertical="top"/>
    </xf>
    <xf numFmtId="0" fontId="7" fillId="0" borderId="17" xfId="3" applyNumberFormat="1" applyFont="1" applyFill="1" applyBorder="1" applyAlignment="1" applyProtection="1">
      <alignment horizontal="center" vertical="top"/>
    </xf>
    <xf numFmtId="0" fontId="14" fillId="0" borderId="0" xfId="3" applyNumberFormat="1" applyFont="1" applyFill="1" applyBorder="1" applyAlignment="1" applyProtection="1">
      <alignment horizontal="center" vertical="top"/>
    </xf>
    <xf numFmtId="0" fontId="7" fillId="0" borderId="0" xfId="3" applyNumberFormat="1" applyFill="1" applyBorder="1" applyAlignment="1" applyProtection="1">
      <alignment horizontal="center" vertical="top"/>
    </xf>
    <xf numFmtId="0" fontId="7" fillId="0" borderId="0" xfId="3" applyNumberFormat="1" applyFont="1" applyFill="1" applyBorder="1" applyAlignment="1" applyProtection="1">
      <alignment horizontal="center" vertical="top"/>
    </xf>
    <xf numFmtId="0" fontId="7" fillId="0" borderId="0" xfId="3" applyNumberFormat="1" applyFill="1" applyBorder="1" applyAlignment="1" applyProtection="1">
      <alignment vertical="top" wrapText="1"/>
    </xf>
    <xf numFmtId="0" fontId="7" fillId="0" borderId="0" xfId="3" applyNumberFormat="1" applyFont="1" applyFill="1" applyBorder="1" applyAlignment="1" applyProtection="1">
      <alignment vertical="top"/>
    </xf>
    <xf numFmtId="0" fontId="7" fillId="0" borderId="0" xfId="3" applyNumberFormat="1" applyFill="1" applyBorder="1" applyAlignment="1" applyProtection="1">
      <alignment horizontal="center" vertical="top" wrapText="1"/>
    </xf>
    <xf numFmtId="0" fontId="7" fillId="0" borderId="5" xfId="3" applyNumberFormat="1" applyFill="1" applyBorder="1" applyAlignment="1" applyProtection="1">
      <alignment horizontal="center" vertical="top"/>
    </xf>
    <xf numFmtId="0" fontId="7" fillId="0" borderId="6" xfId="3" applyNumberFormat="1" applyFont="1" applyFill="1" applyBorder="1" applyAlignment="1" applyProtection="1">
      <alignment horizontal="center" vertical="top"/>
    </xf>
    <xf numFmtId="0" fontId="7" fillId="0" borderId="0" xfId="3" applyNumberFormat="1" applyFill="1" applyBorder="1" applyAlignment="1" applyProtection="1">
      <alignment vertical="top"/>
    </xf>
    <xf numFmtId="0" fontId="7" fillId="0" borderId="0" xfId="3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2" fillId="0" borderId="10" xfId="0" applyNumberFormat="1" applyFont="1" applyFill="1" applyBorder="1" applyAlignment="1" applyProtection="1">
      <alignment horizontal="left" vertical="top"/>
    </xf>
    <xf numFmtId="0" fontId="2" fillId="0" borderId="7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/>
    </xf>
  </cellXfs>
  <cellStyles count="14">
    <cellStyle name="Standard" xfId="0" builtinId="0"/>
    <cellStyle name="Standard 2" xfId="1"/>
    <cellStyle name="Standard_betula_cannell" xfId="2"/>
    <cellStyle name="Standard_birke_neu" xfId="3"/>
    <cellStyle name="Standard_daten_cannell" xfId="4"/>
    <cellStyle name="Standard_föhre_s472" xfId="5"/>
    <cellStyle name="Standard_föhre_s477" xfId="6"/>
    <cellStyle name="Standard_föhre_s482" xfId="7"/>
    <cellStyle name="Standard_föhre_s483" xfId="8"/>
    <cellStyle name="Standard_föhre_s484" xfId="9"/>
    <cellStyle name="Standard_gfialt" xfId="10"/>
    <cellStyle name="Standard_johans" xfId="11"/>
    <cellStyle name="Standard_kennwerte" xfId="12"/>
    <cellStyle name="Standard_lärche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hartsheet" Target="chartsheets/sheet6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hartsheet" Target="chartsheets/sheet3.xml"/><Relationship Id="rId40" Type="http://schemas.openxmlformats.org/officeDocument/2006/relationships/chartsheet" Target="chartsheets/sheet4.xml"/><Relationship Id="rId45" Type="http://schemas.openxmlformats.org/officeDocument/2006/relationships/worksheet" Target="worksheets/sheet3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hartsheet" Target="chartsheets/sheet2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3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hartsheet" Target="chartsheets/sheet1.xml"/><Relationship Id="rId43" Type="http://schemas.openxmlformats.org/officeDocument/2006/relationships/worksheet" Target="worksheets/sheet37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5.xml"/><Relationship Id="rId46" Type="http://schemas.openxmlformats.org/officeDocument/2006/relationships/worksheet" Target="worksheets/sheet40.xml"/><Relationship Id="rId20" Type="http://schemas.openxmlformats.org/officeDocument/2006/relationships/worksheet" Target="worksheets/sheet20.xml"/><Relationship Id="rId41" Type="http://schemas.openxmlformats.org/officeDocument/2006/relationships/chartsheet" Target="chartsheets/sheet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Kronenentwicklung</a:t>
            </a:r>
          </a:p>
        </c:rich>
      </c:tx>
      <c:layout>
        <c:manualLayout>
          <c:xMode val="edge"/>
          <c:yMode val="edge"/>
          <c:x val="0.3910310389733595"/>
          <c:y val="2.94127296587926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88613663584088E-2"/>
          <c:y val="0.14338699152881668"/>
          <c:w val="0.8674975229722568"/>
          <c:h val="0.6268585142477755"/>
        </c:manualLayout>
      </c:layout>
      <c:scatterChart>
        <c:scatterStyle val="lineMarker"/>
        <c:varyColors val="0"/>
        <c:ser>
          <c:idx val="0"/>
          <c:order val="0"/>
          <c:tx>
            <c:v>Birke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80"/>
                </a:solidFill>
                <a:prstDash val="solid"/>
              </a:ln>
            </c:spPr>
            <c:trendlineType val="poly"/>
            <c:order val="2"/>
            <c:dispRSqr val="0"/>
            <c:dispEq val="0"/>
          </c:trendline>
          <c:xVal>
            <c:numRef>
              <c:f>Bartsch!$C$4:$C$107</c:f>
              <c:numCache>
                <c:formatCode>General</c:formatCode>
                <c:ptCount val="104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39</c:v>
                </c:pt>
                <c:pt idx="48">
                  <c:v>39</c:v>
                </c:pt>
                <c:pt idx="49">
                  <c:v>39</c:v>
                </c:pt>
                <c:pt idx="50">
                  <c:v>51</c:v>
                </c:pt>
                <c:pt idx="51">
                  <c:v>51</c:v>
                </c:pt>
                <c:pt idx="52">
                  <c:v>51</c:v>
                </c:pt>
                <c:pt idx="53">
                  <c:v>51</c:v>
                </c:pt>
                <c:pt idx="54">
                  <c:v>51</c:v>
                </c:pt>
                <c:pt idx="55">
                  <c:v>51</c:v>
                </c:pt>
                <c:pt idx="56">
                  <c:v>51</c:v>
                </c:pt>
                <c:pt idx="57">
                  <c:v>51</c:v>
                </c:pt>
                <c:pt idx="58">
                  <c:v>51</c:v>
                </c:pt>
                <c:pt idx="59">
                  <c:v>51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62</c:v>
                </c:pt>
                <c:pt idx="66">
                  <c:v>62</c:v>
                </c:pt>
                <c:pt idx="67">
                  <c:v>62</c:v>
                </c:pt>
                <c:pt idx="68">
                  <c:v>62</c:v>
                </c:pt>
                <c:pt idx="69">
                  <c:v>62</c:v>
                </c:pt>
                <c:pt idx="70">
                  <c:v>75</c:v>
                </c:pt>
                <c:pt idx="71">
                  <c:v>75</c:v>
                </c:pt>
                <c:pt idx="72">
                  <c:v>75</c:v>
                </c:pt>
                <c:pt idx="73">
                  <c:v>75</c:v>
                </c:pt>
                <c:pt idx="74">
                  <c:v>75</c:v>
                </c:pt>
                <c:pt idx="75">
                  <c:v>75</c:v>
                </c:pt>
                <c:pt idx="76">
                  <c:v>75</c:v>
                </c:pt>
                <c:pt idx="77">
                  <c:v>75</c:v>
                </c:pt>
                <c:pt idx="78">
                  <c:v>75</c:v>
                </c:pt>
                <c:pt idx="79">
                  <c:v>75</c:v>
                </c:pt>
                <c:pt idx="80">
                  <c:v>77</c:v>
                </c:pt>
                <c:pt idx="81">
                  <c:v>77</c:v>
                </c:pt>
                <c:pt idx="82">
                  <c:v>77</c:v>
                </c:pt>
                <c:pt idx="83">
                  <c:v>77</c:v>
                </c:pt>
                <c:pt idx="84">
                  <c:v>77</c:v>
                </c:pt>
                <c:pt idx="85">
                  <c:v>77</c:v>
                </c:pt>
                <c:pt idx="86">
                  <c:v>77</c:v>
                </c:pt>
                <c:pt idx="87">
                  <c:v>77</c:v>
                </c:pt>
                <c:pt idx="88">
                  <c:v>81</c:v>
                </c:pt>
                <c:pt idx="89">
                  <c:v>81</c:v>
                </c:pt>
                <c:pt idx="90">
                  <c:v>81</c:v>
                </c:pt>
                <c:pt idx="91">
                  <c:v>81</c:v>
                </c:pt>
                <c:pt idx="92">
                  <c:v>81</c:v>
                </c:pt>
                <c:pt idx="93">
                  <c:v>81</c:v>
                </c:pt>
                <c:pt idx="94">
                  <c:v>115</c:v>
                </c:pt>
                <c:pt idx="95">
                  <c:v>115</c:v>
                </c:pt>
                <c:pt idx="96">
                  <c:v>115</c:v>
                </c:pt>
                <c:pt idx="97">
                  <c:v>115</c:v>
                </c:pt>
                <c:pt idx="98">
                  <c:v>115</c:v>
                </c:pt>
                <c:pt idx="99">
                  <c:v>118</c:v>
                </c:pt>
                <c:pt idx="100">
                  <c:v>118</c:v>
                </c:pt>
                <c:pt idx="101">
                  <c:v>118</c:v>
                </c:pt>
                <c:pt idx="102">
                  <c:v>118</c:v>
                </c:pt>
                <c:pt idx="103">
                  <c:v>118</c:v>
                </c:pt>
              </c:numCache>
            </c:numRef>
          </c:xVal>
          <c:yVal>
            <c:numRef>
              <c:f>Bartsch!$M$4:$M$107</c:f>
              <c:numCache>
                <c:formatCode>General</c:formatCode>
                <c:ptCount val="104"/>
                <c:pt idx="0">
                  <c:v>1.6700000000000002</c:v>
                </c:pt>
                <c:pt idx="1">
                  <c:v>1.4849999999999999</c:v>
                </c:pt>
                <c:pt idx="2">
                  <c:v>2.1500000000000004</c:v>
                </c:pt>
                <c:pt idx="3">
                  <c:v>1.2850000000000001</c:v>
                </c:pt>
                <c:pt idx="4">
                  <c:v>1.365</c:v>
                </c:pt>
                <c:pt idx="5">
                  <c:v>1.6099999999999999</c:v>
                </c:pt>
                <c:pt idx="6">
                  <c:v>2.13</c:v>
                </c:pt>
                <c:pt idx="7">
                  <c:v>1.135</c:v>
                </c:pt>
                <c:pt idx="8">
                  <c:v>1.3250000000000002</c:v>
                </c:pt>
                <c:pt idx="9">
                  <c:v>1.73</c:v>
                </c:pt>
                <c:pt idx="10">
                  <c:v>2.7549999999999999</c:v>
                </c:pt>
                <c:pt idx="11">
                  <c:v>1.9050000000000002</c:v>
                </c:pt>
                <c:pt idx="12">
                  <c:v>1.64</c:v>
                </c:pt>
                <c:pt idx="13">
                  <c:v>2.12</c:v>
                </c:pt>
                <c:pt idx="14">
                  <c:v>1.71</c:v>
                </c:pt>
                <c:pt idx="15">
                  <c:v>2.17</c:v>
                </c:pt>
                <c:pt idx="16">
                  <c:v>2.2450000000000001</c:v>
                </c:pt>
                <c:pt idx="17">
                  <c:v>2.27</c:v>
                </c:pt>
                <c:pt idx="18">
                  <c:v>2.8</c:v>
                </c:pt>
                <c:pt idx="19">
                  <c:v>2</c:v>
                </c:pt>
                <c:pt idx="20">
                  <c:v>2.71</c:v>
                </c:pt>
                <c:pt idx="21">
                  <c:v>3.6549999999999998</c:v>
                </c:pt>
                <c:pt idx="22">
                  <c:v>2.8</c:v>
                </c:pt>
                <c:pt idx="23">
                  <c:v>3.4649999999999994</c:v>
                </c:pt>
                <c:pt idx="24">
                  <c:v>2.82</c:v>
                </c:pt>
                <c:pt idx="25">
                  <c:v>4.2149999999999999</c:v>
                </c:pt>
                <c:pt idx="26">
                  <c:v>2.665</c:v>
                </c:pt>
                <c:pt idx="27">
                  <c:v>3.79</c:v>
                </c:pt>
                <c:pt idx="28">
                  <c:v>3.5</c:v>
                </c:pt>
                <c:pt idx="29">
                  <c:v>2.915</c:v>
                </c:pt>
                <c:pt idx="30">
                  <c:v>3.8</c:v>
                </c:pt>
                <c:pt idx="31">
                  <c:v>3.2549999999999999</c:v>
                </c:pt>
                <c:pt idx="32">
                  <c:v>3.6350000000000002</c:v>
                </c:pt>
                <c:pt idx="33">
                  <c:v>2.95</c:v>
                </c:pt>
                <c:pt idx="34">
                  <c:v>4.7300000000000004</c:v>
                </c:pt>
                <c:pt idx="35">
                  <c:v>2.8200000000000003</c:v>
                </c:pt>
                <c:pt idx="36">
                  <c:v>3.7449999999999997</c:v>
                </c:pt>
                <c:pt idx="37">
                  <c:v>3.4749999999999996</c:v>
                </c:pt>
                <c:pt idx="38">
                  <c:v>2.9250000000000003</c:v>
                </c:pt>
                <c:pt idx="39">
                  <c:v>3.3250000000000002</c:v>
                </c:pt>
                <c:pt idx="40">
                  <c:v>4.8099999999999996</c:v>
                </c:pt>
                <c:pt idx="41">
                  <c:v>4.5950000000000006</c:v>
                </c:pt>
                <c:pt idx="42">
                  <c:v>5.1950000000000003</c:v>
                </c:pt>
                <c:pt idx="43">
                  <c:v>5.1099999999999994</c:v>
                </c:pt>
                <c:pt idx="44">
                  <c:v>5.2349999999999994</c:v>
                </c:pt>
                <c:pt idx="45">
                  <c:v>5.13</c:v>
                </c:pt>
                <c:pt idx="46">
                  <c:v>6.1</c:v>
                </c:pt>
                <c:pt idx="47">
                  <c:v>5.71</c:v>
                </c:pt>
                <c:pt idx="48">
                  <c:v>4.625</c:v>
                </c:pt>
                <c:pt idx="49">
                  <c:v>6.06</c:v>
                </c:pt>
                <c:pt idx="50">
                  <c:v>8.11</c:v>
                </c:pt>
                <c:pt idx="51">
                  <c:v>6.7200000000000006</c:v>
                </c:pt>
                <c:pt idx="52">
                  <c:v>6.07</c:v>
                </c:pt>
                <c:pt idx="53">
                  <c:v>4.01</c:v>
                </c:pt>
                <c:pt idx="54">
                  <c:v>6.9799999999999995</c:v>
                </c:pt>
                <c:pt idx="55">
                  <c:v>5.415</c:v>
                </c:pt>
                <c:pt idx="56">
                  <c:v>6.19</c:v>
                </c:pt>
                <c:pt idx="57">
                  <c:v>5.86</c:v>
                </c:pt>
                <c:pt idx="58">
                  <c:v>7.48</c:v>
                </c:pt>
                <c:pt idx="59">
                  <c:v>8.16</c:v>
                </c:pt>
                <c:pt idx="60">
                  <c:v>5.99</c:v>
                </c:pt>
                <c:pt idx="61">
                  <c:v>7.0400000000000009</c:v>
                </c:pt>
                <c:pt idx="62">
                  <c:v>6.6150000000000002</c:v>
                </c:pt>
                <c:pt idx="63">
                  <c:v>6.93</c:v>
                </c:pt>
                <c:pt idx="64">
                  <c:v>7.3949999999999996</c:v>
                </c:pt>
                <c:pt idx="65">
                  <c:v>7.07</c:v>
                </c:pt>
                <c:pt idx="66">
                  <c:v>9.8449999999999989</c:v>
                </c:pt>
                <c:pt idx="67">
                  <c:v>9.2200000000000006</c:v>
                </c:pt>
                <c:pt idx="68">
                  <c:v>7.669999999999999</c:v>
                </c:pt>
                <c:pt idx="69">
                  <c:v>7.68</c:v>
                </c:pt>
                <c:pt idx="70">
                  <c:v>6.2050000000000001</c:v>
                </c:pt>
                <c:pt idx="71">
                  <c:v>6.9550000000000001</c:v>
                </c:pt>
                <c:pt idx="72">
                  <c:v>5.08</c:v>
                </c:pt>
                <c:pt idx="73">
                  <c:v>7.6950000000000003</c:v>
                </c:pt>
                <c:pt idx="74">
                  <c:v>7.6949999999999994</c:v>
                </c:pt>
                <c:pt idx="75">
                  <c:v>6.4350000000000005</c:v>
                </c:pt>
                <c:pt idx="76">
                  <c:v>5.1850000000000005</c:v>
                </c:pt>
                <c:pt idx="77">
                  <c:v>6.4250000000000007</c:v>
                </c:pt>
                <c:pt idx="78">
                  <c:v>9.4649999999999999</c:v>
                </c:pt>
                <c:pt idx="79">
                  <c:v>6.5299999999999994</c:v>
                </c:pt>
                <c:pt idx="80">
                  <c:v>6.27</c:v>
                </c:pt>
                <c:pt idx="81">
                  <c:v>6.8299999999999992</c:v>
                </c:pt>
                <c:pt idx="82">
                  <c:v>4.6349999999999998</c:v>
                </c:pt>
                <c:pt idx="83">
                  <c:v>6.95</c:v>
                </c:pt>
                <c:pt idx="84">
                  <c:v>8.2650000000000006</c:v>
                </c:pt>
                <c:pt idx="85">
                  <c:v>9.57</c:v>
                </c:pt>
                <c:pt idx="86">
                  <c:v>5.34</c:v>
                </c:pt>
                <c:pt idx="87">
                  <c:v>7.995000000000001</c:v>
                </c:pt>
                <c:pt idx="88">
                  <c:v>4.3000000000000007</c:v>
                </c:pt>
                <c:pt idx="89">
                  <c:v>4.17</c:v>
                </c:pt>
                <c:pt idx="90">
                  <c:v>3.9649999999999999</c:v>
                </c:pt>
                <c:pt idx="91">
                  <c:v>4.45</c:v>
                </c:pt>
                <c:pt idx="92">
                  <c:v>3.7850000000000001</c:v>
                </c:pt>
                <c:pt idx="93">
                  <c:v>5.4450000000000003</c:v>
                </c:pt>
                <c:pt idx="94">
                  <c:v>8.81</c:v>
                </c:pt>
                <c:pt idx="95">
                  <c:v>12.14</c:v>
                </c:pt>
                <c:pt idx="96">
                  <c:v>10.649999999999999</c:v>
                </c:pt>
                <c:pt idx="97">
                  <c:v>11.675000000000001</c:v>
                </c:pt>
                <c:pt idx="98">
                  <c:v>8.2199999999999989</c:v>
                </c:pt>
                <c:pt idx="99">
                  <c:v>10.684999999999999</c:v>
                </c:pt>
                <c:pt idx="100">
                  <c:v>8.39</c:v>
                </c:pt>
                <c:pt idx="101">
                  <c:v>8.7650000000000006</c:v>
                </c:pt>
                <c:pt idx="102">
                  <c:v>6.78</c:v>
                </c:pt>
                <c:pt idx="103">
                  <c:v>6.9749999999999996</c:v>
                </c:pt>
              </c:numCache>
            </c:numRef>
          </c:yVal>
          <c:smooth val="0"/>
        </c:ser>
        <c:ser>
          <c:idx val="1"/>
          <c:order val="1"/>
          <c:tx>
            <c:v>Kiefer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FF"/>
                </a:solidFill>
                <a:prstDash val="solid"/>
              </a:ln>
            </c:spPr>
            <c:trendlineType val="poly"/>
            <c:order val="2"/>
            <c:dispRSqr val="0"/>
            <c:dispEq val="0"/>
          </c:trendline>
          <c:xVal>
            <c:numRef>
              <c:f>Bartsch!$C$108:$C$211</c:f>
              <c:numCache>
                <c:formatCode>General</c:formatCode>
                <c:ptCount val="104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39</c:v>
                </c:pt>
                <c:pt idx="48">
                  <c:v>39</c:v>
                </c:pt>
                <c:pt idx="49">
                  <c:v>39</c:v>
                </c:pt>
                <c:pt idx="50">
                  <c:v>51</c:v>
                </c:pt>
                <c:pt idx="51">
                  <c:v>51</c:v>
                </c:pt>
                <c:pt idx="52">
                  <c:v>51</c:v>
                </c:pt>
                <c:pt idx="53">
                  <c:v>51</c:v>
                </c:pt>
                <c:pt idx="54">
                  <c:v>51</c:v>
                </c:pt>
                <c:pt idx="55">
                  <c:v>51</c:v>
                </c:pt>
                <c:pt idx="56">
                  <c:v>51</c:v>
                </c:pt>
                <c:pt idx="57">
                  <c:v>51</c:v>
                </c:pt>
                <c:pt idx="58">
                  <c:v>51</c:v>
                </c:pt>
                <c:pt idx="59">
                  <c:v>51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62</c:v>
                </c:pt>
                <c:pt idx="66">
                  <c:v>62</c:v>
                </c:pt>
                <c:pt idx="67">
                  <c:v>62</c:v>
                </c:pt>
                <c:pt idx="68">
                  <c:v>62</c:v>
                </c:pt>
                <c:pt idx="69">
                  <c:v>62</c:v>
                </c:pt>
                <c:pt idx="70">
                  <c:v>75</c:v>
                </c:pt>
                <c:pt idx="71">
                  <c:v>75</c:v>
                </c:pt>
                <c:pt idx="72">
                  <c:v>75</c:v>
                </c:pt>
                <c:pt idx="73">
                  <c:v>75</c:v>
                </c:pt>
                <c:pt idx="74">
                  <c:v>75</c:v>
                </c:pt>
                <c:pt idx="75">
                  <c:v>75</c:v>
                </c:pt>
                <c:pt idx="76">
                  <c:v>75</c:v>
                </c:pt>
                <c:pt idx="77">
                  <c:v>75</c:v>
                </c:pt>
                <c:pt idx="78">
                  <c:v>75</c:v>
                </c:pt>
                <c:pt idx="79">
                  <c:v>75</c:v>
                </c:pt>
                <c:pt idx="80">
                  <c:v>77</c:v>
                </c:pt>
                <c:pt idx="81">
                  <c:v>77</c:v>
                </c:pt>
                <c:pt idx="82">
                  <c:v>77</c:v>
                </c:pt>
                <c:pt idx="83">
                  <c:v>77</c:v>
                </c:pt>
                <c:pt idx="84">
                  <c:v>77</c:v>
                </c:pt>
                <c:pt idx="85">
                  <c:v>77</c:v>
                </c:pt>
                <c:pt idx="86">
                  <c:v>77</c:v>
                </c:pt>
                <c:pt idx="87">
                  <c:v>77</c:v>
                </c:pt>
                <c:pt idx="88">
                  <c:v>81</c:v>
                </c:pt>
                <c:pt idx="89">
                  <c:v>81</c:v>
                </c:pt>
                <c:pt idx="90">
                  <c:v>81</c:v>
                </c:pt>
                <c:pt idx="91">
                  <c:v>81</c:v>
                </c:pt>
                <c:pt idx="92">
                  <c:v>81</c:v>
                </c:pt>
                <c:pt idx="93">
                  <c:v>81</c:v>
                </c:pt>
                <c:pt idx="94">
                  <c:v>115</c:v>
                </c:pt>
                <c:pt idx="95">
                  <c:v>115</c:v>
                </c:pt>
                <c:pt idx="96">
                  <c:v>115</c:v>
                </c:pt>
                <c:pt idx="97">
                  <c:v>115</c:v>
                </c:pt>
                <c:pt idx="98">
                  <c:v>115</c:v>
                </c:pt>
                <c:pt idx="99">
                  <c:v>118</c:v>
                </c:pt>
                <c:pt idx="100">
                  <c:v>118</c:v>
                </c:pt>
                <c:pt idx="101">
                  <c:v>118</c:v>
                </c:pt>
                <c:pt idx="102">
                  <c:v>118</c:v>
                </c:pt>
                <c:pt idx="103">
                  <c:v>118</c:v>
                </c:pt>
              </c:numCache>
            </c:numRef>
          </c:xVal>
          <c:yVal>
            <c:numRef>
              <c:f>Bartsch!$M$108:$M$211</c:f>
              <c:numCache>
                <c:formatCode>General</c:formatCode>
                <c:ptCount val="104"/>
                <c:pt idx="0">
                  <c:v>1.855</c:v>
                </c:pt>
                <c:pt idx="1">
                  <c:v>1.835</c:v>
                </c:pt>
                <c:pt idx="2">
                  <c:v>1.7800000000000002</c:v>
                </c:pt>
                <c:pt idx="3">
                  <c:v>1.2650000000000001</c:v>
                </c:pt>
                <c:pt idx="4">
                  <c:v>1.21</c:v>
                </c:pt>
                <c:pt idx="5">
                  <c:v>1.08</c:v>
                </c:pt>
                <c:pt idx="6">
                  <c:v>2.2650000000000001</c:v>
                </c:pt>
                <c:pt idx="7">
                  <c:v>1.1400000000000001</c:v>
                </c:pt>
                <c:pt idx="8">
                  <c:v>2.12</c:v>
                </c:pt>
                <c:pt idx="9">
                  <c:v>2.12</c:v>
                </c:pt>
                <c:pt idx="10">
                  <c:v>2.33</c:v>
                </c:pt>
                <c:pt idx="11">
                  <c:v>1.5550000000000002</c:v>
                </c:pt>
                <c:pt idx="12">
                  <c:v>2.0750000000000002</c:v>
                </c:pt>
                <c:pt idx="13">
                  <c:v>1.35</c:v>
                </c:pt>
                <c:pt idx="14">
                  <c:v>1.4750000000000001</c:v>
                </c:pt>
                <c:pt idx="15">
                  <c:v>1.415</c:v>
                </c:pt>
                <c:pt idx="16">
                  <c:v>1.94</c:v>
                </c:pt>
                <c:pt idx="17">
                  <c:v>2.0249999999999999</c:v>
                </c:pt>
                <c:pt idx="18">
                  <c:v>1.05</c:v>
                </c:pt>
                <c:pt idx="19">
                  <c:v>1.88</c:v>
                </c:pt>
                <c:pt idx="20">
                  <c:v>2.54</c:v>
                </c:pt>
                <c:pt idx="21">
                  <c:v>2.4849999999999999</c:v>
                </c:pt>
                <c:pt idx="22">
                  <c:v>2.15</c:v>
                </c:pt>
                <c:pt idx="23">
                  <c:v>1.8399999999999999</c:v>
                </c:pt>
                <c:pt idx="24">
                  <c:v>2.92</c:v>
                </c:pt>
                <c:pt idx="25">
                  <c:v>2.9550000000000001</c:v>
                </c:pt>
                <c:pt idx="26">
                  <c:v>3.17</c:v>
                </c:pt>
                <c:pt idx="27">
                  <c:v>3.3200000000000003</c:v>
                </c:pt>
                <c:pt idx="28">
                  <c:v>3.2850000000000001</c:v>
                </c:pt>
                <c:pt idx="29">
                  <c:v>2.5750000000000002</c:v>
                </c:pt>
                <c:pt idx="30">
                  <c:v>2.98</c:v>
                </c:pt>
                <c:pt idx="31">
                  <c:v>3.09</c:v>
                </c:pt>
                <c:pt idx="32">
                  <c:v>2.7050000000000001</c:v>
                </c:pt>
                <c:pt idx="33">
                  <c:v>4.66</c:v>
                </c:pt>
                <c:pt idx="34">
                  <c:v>3.1949999999999998</c:v>
                </c:pt>
                <c:pt idx="35">
                  <c:v>1.86</c:v>
                </c:pt>
                <c:pt idx="36">
                  <c:v>3.8250000000000002</c:v>
                </c:pt>
                <c:pt idx="37">
                  <c:v>1.7649999999999999</c:v>
                </c:pt>
                <c:pt idx="38">
                  <c:v>2.4950000000000001</c:v>
                </c:pt>
                <c:pt idx="39">
                  <c:v>2.605</c:v>
                </c:pt>
                <c:pt idx="40">
                  <c:v>2.1749999999999998</c:v>
                </c:pt>
                <c:pt idx="41">
                  <c:v>4.16</c:v>
                </c:pt>
                <c:pt idx="42">
                  <c:v>4.8</c:v>
                </c:pt>
                <c:pt idx="43">
                  <c:v>3.5900000000000003</c:v>
                </c:pt>
                <c:pt idx="44">
                  <c:v>3.4449999999999998</c:v>
                </c:pt>
                <c:pt idx="45">
                  <c:v>2.9400000000000004</c:v>
                </c:pt>
                <c:pt idx="46">
                  <c:v>4.4700000000000006</c:v>
                </c:pt>
                <c:pt idx="47">
                  <c:v>4.0249999999999995</c:v>
                </c:pt>
                <c:pt idx="48">
                  <c:v>4.3100000000000005</c:v>
                </c:pt>
                <c:pt idx="49">
                  <c:v>4.5600000000000005</c:v>
                </c:pt>
                <c:pt idx="50">
                  <c:v>4.8550000000000004</c:v>
                </c:pt>
                <c:pt idx="51">
                  <c:v>3.6049999999999995</c:v>
                </c:pt>
                <c:pt idx="52">
                  <c:v>4.8849999999999998</c:v>
                </c:pt>
                <c:pt idx="53">
                  <c:v>4.2850000000000001</c:v>
                </c:pt>
                <c:pt idx="54">
                  <c:v>3.2949999999999999</c:v>
                </c:pt>
                <c:pt idx="55">
                  <c:v>5.3100000000000005</c:v>
                </c:pt>
                <c:pt idx="56">
                  <c:v>3.8849999999999998</c:v>
                </c:pt>
                <c:pt idx="57">
                  <c:v>3.9099999999999997</c:v>
                </c:pt>
                <c:pt idx="58">
                  <c:v>4.7149999999999999</c:v>
                </c:pt>
                <c:pt idx="59">
                  <c:v>4.2750000000000004</c:v>
                </c:pt>
                <c:pt idx="60">
                  <c:v>5.98</c:v>
                </c:pt>
                <c:pt idx="61">
                  <c:v>5.67</c:v>
                </c:pt>
                <c:pt idx="62">
                  <c:v>5.91</c:v>
                </c:pt>
                <c:pt idx="63">
                  <c:v>6.5350000000000001</c:v>
                </c:pt>
                <c:pt idx="64">
                  <c:v>6.9300000000000006</c:v>
                </c:pt>
                <c:pt idx="65">
                  <c:v>6.1449999999999996</c:v>
                </c:pt>
                <c:pt idx="66">
                  <c:v>5.2949999999999999</c:v>
                </c:pt>
                <c:pt idx="67">
                  <c:v>5.0299999999999994</c:v>
                </c:pt>
                <c:pt idx="68">
                  <c:v>4.83</c:v>
                </c:pt>
                <c:pt idx="69">
                  <c:v>4.0649999999999995</c:v>
                </c:pt>
                <c:pt idx="70">
                  <c:v>4.8550000000000004</c:v>
                </c:pt>
                <c:pt idx="71">
                  <c:v>6.22</c:v>
                </c:pt>
                <c:pt idx="72">
                  <c:v>2.5150000000000001</c:v>
                </c:pt>
                <c:pt idx="73">
                  <c:v>3.82</c:v>
                </c:pt>
                <c:pt idx="74">
                  <c:v>8.83</c:v>
                </c:pt>
                <c:pt idx="75">
                  <c:v>4.665</c:v>
                </c:pt>
                <c:pt idx="76">
                  <c:v>3.9299999999999997</c:v>
                </c:pt>
                <c:pt idx="77">
                  <c:v>3.835</c:v>
                </c:pt>
                <c:pt idx="78">
                  <c:v>5.4350000000000005</c:v>
                </c:pt>
                <c:pt idx="79">
                  <c:v>5.7249999999999996</c:v>
                </c:pt>
                <c:pt idx="80">
                  <c:v>6.919999999999999</c:v>
                </c:pt>
                <c:pt idx="81">
                  <c:v>4.5199999999999996</c:v>
                </c:pt>
                <c:pt idx="82">
                  <c:v>6.17</c:v>
                </c:pt>
                <c:pt idx="83">
                  <c:v>7.3449999999999998</c:v>
                </c:pt>
                <c:pt idx="84">
                  <c:v>6.3449999999999998</c:v>
                </c:pt>
                <c:pt idx="85">
                  <c:v>6.1850000000000005</c:v>
                </c:pt>
                <c:pt idx="86">
                  <c:v>5.41</c:v>
                </c:pt>
                <c:pt idx="87">
                  <c:v>5.585</c:v>
                </c:pt>
                <c:pt idx="88">
                  <c:v>3.4249999999999998</c:v>
                </c:pt>
                <c:pt idx="89">
                  <c:v>5.1749999999999998</c:v>
                </c:pt>
                <c:pt idx="90">
                  <c:v>3.9950000000000001</c:v>
                </c:pt>
                <c:pt idx="91">
                  <c:v>6.15</c:v>
                </c:pt>
                <c:pt idx="92">
                  <c:v>4.09</c:v>
                </c:pt>
                <c:pt idx="93">
                  <c:v>4.2350000000000003</c:v>
                </c:pt>
                <c:pt idx="94">
                  <c:v>9.2449999999999992</c:v>
                </c:pt>
                <c:pt idx="95">
                  <c:v>7.32</c:v>
                </c:pt>
                <c:pt idx="96">
                  <c:v>5.47</c:v>
                </c:pt>
                <c:pt idx="97">
                  <c:v>6.085</c:v>
                </c:pt>
                <c:pt idx="98">
                  <c:v>6.53</c:v>
                </c:pt>
                <c:pt idx="99">
                  <c:v>7.5</c:v>
                </c:pt>
                <c:pt idx="100">
                  <c:v>7.59</c:v>
                </c:pt>
                <c:pt idx="101">
                  <c:v>6.74</c:v>
                </c:pt>
                <c:pt idx="102">
                  <c:v>7.9550000000000001</c:v>
                </c:pt>
                <c:pt idx="103">
                  <c:v>6.0550000000000006</c:v>
                </c:pt>
              </c:numCache>
            </c:numRef>
          </c:yVal>
          <c:smooth val="0"/>
        </c:ser>
        <c:ser>
          <c:idx val="2"/>
          <c:order val="2"/>
          <c:tx>
            <c:v>Birke sonstige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Bartsch!$A$222:$A$232</c:f>
              <c:numCache>
                <c:formatCode>General</c:formatCode>
                <c:ptCount val="11"/>
                <c:pt idx="0">
                  <c:v>6</c:v>
                </c:pt>
                <c:pt idx="1">
                  <c:v>24</c:v>
                </c:pt>
                <c:pt idx="2">
                  <c:v>27</c:v>
                </c:pt>
                <c:pt idx="3">
                  <c:v>32</c:v>
                </c:pt>
                <c:pt idx="4">
                  <c:v>38</c:v>
                </c:pt>
                <c:pt idx="5">
                  <c:v>42</c:v>
                </c:pt>
                <c:pt idx="6">
                  <c:v>46</c:v>
                </c:pt>
                <c:pt idx="7">
                  <c:v>53</c:v>
                </c:pt>
                <c:pt idx="8">
                  <c:v>55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Bartsch!$J$222:$J$232</c:f>
              <c:numCache>
                <c:formatCode>General</c:formatCode>
                <c:ptCount val="11"/>
                <c:pt idx="0">
                  <c:v>0.7</c:v>
                </c:pt>
                <c:pt idx="1">
                  <c:v>1.4000000000000001</c:v>
                </c:pt>
                <c:pt idx="2">
                  <c:v>2</c:v>
                </c:pt>
                <c:pt idx="3">
                  <c:v>1.7000000000000002</c:v>
                </c:pt>
                <c:pt idx="4">
                  <c:v>2.5</c:v>
                </c:pt>
                <c:pt idx="5">
                  <c:v>2.9000000000000004</c:v>
                </c:pt>
                <c:pt idx="6">
                  <c:v>3.3000000000000003</c:v>
                </c:pt>
                <c:pt idx="7">
                  <c:v>3.2</c:v>
                </c:pt>
                <c:pt idx="8">
                  <c:v>3.5999999999999996</c:v>
                </c:pt>
                <c:pt idx="9">
                  <c:v>1.78</c:v>
                </c:pt>
                <c:pt idx="10">
                  <c:v>2.86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530752"/>
        <c:axId val="260531328"/>
      </c:scatterChart>
      <c:valAx>
        <c:axId val="26053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45346465317246082"/>
              <c:y val="0.851130538829705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531328"/>
        <c:crosses val="autoZero"/>
        <c:crossBetween val="midCat"/>
      </c:valAx>
      <c:valAx>
        <c:axId val="260531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Mittl. Kronendurchmesser in m</a:t>
                </a:r>
              </a:p>
            </c:rich>
          </c:tx>
          <c:layout>
            <c:manualLayout>
              <c:xMode val="edge"/>
              <c:yMode val="edge"/>
              <c:x val="1.7525218986180945E-2"/>
              <c:y val="0.187505982708043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5307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719973667037513"/>
          <c:y val="0.93201540064844834"/>
          <c:w val="0.82477989265580587"/>
          <c:h val="5.514879573876796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7955724469375"/>
          <c:y val="9.4545454545454544E-2"/>
          <c:w val="0.80500964771219508"/>
          <c:h val="0.6545454545454545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'Burger_Tab. 10'!$C$6:$C$215</c:f>
              <c:numCache>
                <c:formatCode>General</c:formatCode>
                <c:ptCount val="210"/>
                <c:pt idx="0">
                  <c:v>12</c:v>
                </c:pt>
                <c:pt idx="1">
                  <c:v>12</c:v>
                </c:pt>
                <c:pt idx="2">
                  <c:v>18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21</c:v>
                </c:pt>
                <c:pt idx="52">
                  <c:v>21</c:v>
                </c:pt>
                <c:pt idx="53">
                  <c:v>21</c:v>
                </c:pt>
                <c:pt idx="54">
                  <c:v>21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21</c:v>
                </c:pt>
                <c:pt idx="59">
                  <c:v>21</c:v>
                </c:pt>
                <c:pt idx="60">
                  <c:v>21</c:v>
                </c:pt>
                <c:pt idx="61">
                  <c:v>21</c:v>
                </c:pt>
                <c:pt idx="62">
                  <c:v>21</c:v>
                </c:pt>
                <c:pt idx="63">
                  <c:v>21</c:v>
                </c:pt>
                <c:pt idx="64">
                  <c:v>21</c:v>
                </c:pt>
                <c:pt idx="65">
                  <c:v>21</c:v>
                </c:pt>
                <c:pt idx="66">
                  <c:v>24</c:v>
                </c:pt>
                <c:pt idx="67">
                  <c:v>24</c:v>
                </c:pt>
                <c:pt idx="68">
                  <c:v>24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24</c:v>
                </c:pt>
                <c:pt idx="74">
                  <c:v>24</c:v>
                </c:pt>
                <c:pt idx="75">
                  <c:v>25</c:v>
                </c:pt>
                <c:pt idx="76">
                  <c:v>25</c:v>
                </c:pt>
                <c:pt idx="77">
                  <c:v>25</c:v>
                </c:pt>
                <c:pt idx="78">
                  <c:v>25</c:v>
                </c:pt>
                <c:pt idx="79">
                  <c:v>25</c:v>
                </c:pt>
                <c:pt idx="80">
                  <c:v>25</c:v>
                </c:pt>
                <c:pt idx="81">
                  <c:v>24</c:v>
                </c:pt>
                <c:pt idx="82">
                  <c:v>26</c:v>
                </c:pt>
                <c:pt idx="83">
                  <c:v>22</c:v>
                </c:pt>
                <c:pt idx="84">
                  <c:v>25</c:v>
                </c:pt>
                <c:pt idx="85">
                  <c:v>27</c:v>
                </c:pt>
                <c:pt idx="86">
                  <c:v>28</c:v>
                </c:pt>
                <c:pt idx="87">
                  <c:v>28</c:v>
                </c:pt>
                <c:pt idx="88">
                  <c:v>28</c:v>
                </c:pt>
                <c:pt idx="89">
                  <c:v>28</c:v>
                </c:pt>
                <c:pt idx="90">
                  <c:v>28</c:v>
                </c:pt>
                <c:pt idx="91">
                  <c:v>28</c:v>
                </c:pt>
                <c:pt idx="92">
                  <c:v>28</c:v>
                </c:pt>
                <c:pt idx="93">
                  <c:v>28</c:v>
                </c:pt>
                <c:pt idx="94">
                  <c:v>28</c:v>
                </c:pt>
                <c:pt idx="95">
                  <c:v>32</c:v>
                </c:pt>
                <c:pt idx="96">
                  <c:v>32</c:v>
                </c:pt>
                <c:pt idx="97">
                  <c:v>32</c:v>
                </c:pt>
                <c:pt idx="98">
                  <c:v>32</c:v>
                </c:pt>
                <c:pt idx="99">
                  <c:v>32</c:v>
                </c:pt>
                <c:pt idx="100">
                  <c:v>32</c:v>
                </c:pt>
                <c:pt idx="101">
                  <c:v>32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32</c:v>
                </c:pt>
                <c:pt idx="113">
                  <c:v>32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32</c:v>
                </c:pt>
                <c:pt idx="118">
                  <c:v>32</c:v>
                </c:pt>
                <c:pt idx="119">
                  <c:v>32</c:v>
                </c:pt>
                <c:pt idx="120">
                  <c:v>32</c:v>
                </c:pt>
                <c:pt idx="121">
                  <c:v>32</c:v>
                </c:pt>
                <c:pt idx="122">
                  <c:v>32</c:v>
                </c:pt>
                <c:pt idx="123">
                  <c:v>32</c:v>
                </c:pt>
                <c:pt idx="124">
                  <c:v>32</c:v>
                </c:pt>
                <c:pt idx="125">
                  <c:v>32</c:v>
                </c:pt>
                <c:pt idx="126">
                  <c:v>32</c:v>
                </c:pt>
                <c:pt idx="127">
                  <c:v>32</c:v>
                </c:pt>
                <c:pt idx="128">
                  <c:v>32</c:v>
                </c:pt>
                <c:pt idx="129">
                  <c:v>32</c:v>
                </c:pt>
                <c:pt idx="130">
                  <c:v>32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32</c:v>
                </c:pt>
                <c:pt idx="138">
                  <c:v>32</c:v>
                </c:pt>
                <c:pt idx="139">
                  <c:v>33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4">
                  <c:v>33</c:v>
                </c:pt>
                <c:pt idx="145">
                  <c:v>33</c:v>
                </c:pt>
                <c:pt idx="146">
                  <c:v>33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33</c:v>
                </c:pt>
                <c:pt idx="151">
                  <c:v>33</c:v>
                </c:pt>
                <c:pt idx="152">
                  <c:v>33</c:v>
                </c:pt>
                <c:pt idx="153">
                  <c:v>33</c:v>
                </c:pt>
                <c:pt idx="154">
                  <c:v>33</c:v>
                </c:pt>
                <c:pt idx="155">
                  <c:v>42</c:v>
                </c:pt>
                <c:pt idx="156">
                  <c:v>42</c:v>
                </c:pt>
                <c:pt idx="157">
                  <c:v>42</c:v>
                </c:pt>
                <c:pt idx="158">
                  <c:v>55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65</c:v>
                </c:pt>
                <c:pt idx="163">
                  <c:v>65</c:v>
                </c:pt>
                <c:pt idx="164">
                  <c:v>65</c:v>
                </c:pt>
                <c:pt idx="165">
                  <c:v>65</c:v>
                </c:pt>
                <c:pt idx="166">
                  <c:v>65</c:v>
                </c:pt>
                <c:pt idx="167">
                  <c:v>65</c:v>
                </c:pt>
                <c:pt idx="168">
                  <c:v>65</c:v>
                </c:pt>
                <c:pt idx="169">
                  <c:v>70</c:v>
                </c:pt>
                <c:pt idx="170">
                  <c:v>70</c:v>
                </c:pt>
                <c:pt idx="171">
                  <c:v>70</c:v>
                </c:pt>
                <c:pt idx="172">
                  <c:v>71</c:v>
                </c:pt>
                <c:pt idx="173">
                  <c:v>80</c:v>
                </c:pt>
                <c:pt idx="174">
                  <c:v>80</c:v>
                </c:pt>
                <c:pt idx="175">
                  <c:v>80</c:v>
                </c:pt>
                <c:pt idx="176">
                  <c:v>80</c:v>
                </c:pt>
                <c:pt idx="177">
                  <c:v>81</c:v>
                </c:pt>
                <c:pt idx="178">
                  <c:v>81</c:v>
                </c:pt>
                <c:pt idx="179">
                  <c:v>81</c:v>
                </c:pt>
                <c:pt idx="180">
                  <c:v>82</c:v>
                </c:pt>
                <c:pt idx="181">
                  <c:v>82</c:v>
                </c:pt>
                <c:pt idx="182">
                  <c:v>82</c:v>
                </c:pt>
                <c:pt idx="183">
                  <c:v>82</c:v>
                </c:pt>
                <c:pt idx="184">
                  <c:v>82</c:v>
                </c:pt>
                <c:pt idx="185">
                  <c:v>83</c:v>
                </c:pt>
                <c:pt idx="186">
                  <c:v>82</c:v>
                </c:pt>
                <c:pt idx="187">
                  <c:v>82</c:v>
                </c:pt>
                <c:pt idx="188">
                  <c:v>82</c:v>
                </c:pt>
                <c:pt idx="189">
                  <c:v>83</c:v>
                </c:pt>
                <c:pt idx="190">
                  <c:v>83</c:v>
                </c:pt>
                <c:pt idx="191">
                  <c:v>83</c:v>
                </c:pt>
                <c:pt idx="192">
                  <c:v>84</c:v>
                </c:pt>
                <c:pt idx="193">
                  <c:v>85</c:v>
                </c:pt>
                <c:pt idx="194">
                  <c:v>85</c:v>
                </c:pt>
                <c:pt idx="195">
                  <c:v>85</c:v>
                </c:pt>
                <c:pt idx="196">
                  <c:v>85</c:v>
                </c:pt>
                <c:pt idx="197">
                  <c:v>85</c:v>
                </c:pt>
                <c:pt idx="198">
                  <c:v>86</c:v>
                </c:pt>
                <c:pt idx="199">
                  <c:v>86</c:v>
                </c:pt>
                <c:pt idx="200">
                  <c:v>86</c:v>
                </c:pt>
                <c:pt idx="201">
                  <c:v>91</c:v>
                </c:pt>
                <c:pt idx="202">
                  <c:v>101</c:v>
                </c:pt>
                <c:pt idx="203">
                  <c:v>97</c:v>
                </c:pt>
                <c:pt idx="204">
                  <c:v>97</c:v>
                </c:pt>
                <c:pt idx="205">
                  <c:v>98</c:v>
                </c:pt>
                <c:pt idx="206">
                  <c:v>113</c:v>
                </c:pt>
                <c:pt idx="207">
                  <c:v>119</c:v>
                </c:pt>
                <c:pt idx="208">
                  <c:v>119</c:v>
                </c:pt>
                <c:pt idx="209">
                  <c:v>119</c:v>
                </c:pt>
              </c:numCache>
            </c:numRef>
          </c:xVal>
          <c:yVal>
            <c:numRef>
              <c:f>'Burger_Tab. 10'!$AI$6:$AI$215</c:f>
              <c:numCache>
                <c:formatCode>0.000</c:formatCode>
                <c:ptCount val="210"/>
                <c:pt idx="0">
                  <c:v>0.21666666666666667</c:v>
                </c:pt>
                <c:pt idx="1">
                  <c:v>0.27499999999999997</c:v>
                </c:pt>
                <c:pt idx="2">
                  <c:v>0.76666666666666672</c:v>
                </c:pt>
                <c:pt idx="3">
                  <c:v>0.25263157894736843</c:v>
                </c:pt>
                <c:pt idx="4">
                  <c:v>0.43157894736842101</c:v>
                </c:pt>
                <c:pt idx="5">
                  <c:v>0.52105263157894743</c:v>
                </c:pt>
                <c:pt idx="6">
                  <c:v>0.58947368421052626</c:v>
                </c:pt>
                <c:pt idx="7">
                  <c:v>0.3</c:v>
                </c:pt>
                <c:pt idx="8">
                  <c:v>0.32</c:v>
                </c:pt>
                <c:pt idx="9">
                  <c:v>0.38</c:v>
                </c:pt>
                <c:pt idx="10">
                  <c:v>0.45</c:v>
                </c:pt>
                <c:pt idx="11">
                  <c:v>0.45</c:v>
                </c:pt>
                <c:pt idx="12">
                  <c:v>0.53499999999999992</c:v>
                </c:pt>
                <c:pt idx="13">
                  <c:v>0.38</c:v>
                </c:pt>
                <c:pt idx="14">
                  <c:v>0.39</c:v>
                </c:pt>
                <c:pt idx="15">
                  <c:v>0.39</c:v>
                </c:pt>
                <c:pt idx="16">
                  <c:v>0.51</c:v>
                </c:pt>
                <c:pt idx="17">
                  <c:v>0.37</c:v>
                </c:pt>
                <c:pt idx="18">
                  <c:v>0.51</c:v>
                </c:pt>
                <c:pt idx="19">
                  <c:v>0.52500000000000002</c:v>
                </c:pt>
                <c:pt idx="20">
                  <c:v>0.57999999999999996</c:v>
                </c:pt>
                <c:pt idx="21">
                  <c:v>0.32</c:v>
                </c:pt>
                <c:pt idx="22">
                  <c:v>0.45499999999999996</c:v>
                </c:pt>
                <c:pt idx="23">
                  <c:v>0.55000000000000004</c:v>
                </c:pt>
                <c:pt idx="24">
                  <c:v>0.6</c:v>
                </c:pt>
                <c:pt idx="25">
                  <c:v>0.32</c:v>
                </c:pt>
                <c:pt idx="26">
                  <c:v>0.4</c:v>
                </c:pt>
                <c:pt idx="27">
                  <c:v>0.43499999999999994</c:v>
                </c:pt>
                <c:pt idx="28">
                  <c:v>0.57000000000000006</c:v>
                </c:pt>
                <c:pt idx="29">
                  <c:v>0.33999999999999997</c:v>
                </c:pt>
                <c:pt idx="30">
                  <c:v>0.38500000000000001</c:v>
                </c:pt>
                <c:pt idx="31">
                  <c:v>0.48</c:v>
                </c:pt>
                <c:pt idx="32">
                  <c:v>0.61</c:v>
                </c:pt>
                <c:pt idx="33">
                  <c:v>0.26</c:v>
                </c:pt>
                <c:pt idx="34">
                  <c:v>0.37</c:v>
                </c:pt>
                <c:pt idx="35">
                  <c:v>0.41</c:v>
                </c:pt>
                <c:pt idx="36">
                  <c:v>0.505</c:v>
                </c:pt>
                <c:pt idx="37">
                  <c:v>0.57499999999999996</c:v>
                </c:pt>
                <c:pt idx="38">
                  <c:v>0.22999999999999998</c:v>
                </c:pt>
                <c:pt idx="39">
                  <c:v>0.27500000000000002</c:v>
                </c:pt>
                <c:pt idx="40">
                  <c:v>0.36</c:v>
                </c:pt>
                <c:pt idx="41">
                  <c:v>0.41</c:v>
                </c:pt>
                <c:pt idx="42">
                  <c:v>0.49000000000000005</c:v>
                </c:pt>
                <c:pt idx="43">
                  <c:v>0.36499999999999999</c:v>
                </c:pt>
                <c:pt idx="44">
                  <c:v>0.45499999999999996</c:v>
                </c:pt>
                <c:pt idx="45">
                  <c:v>0.49000000000000005</c:v>
                </c:pt>
                <c:pt idx="46">
                  <c:v>0.73</c:v>
                </c:pt>
                <c:pt idx="47">
                  <c:v>0.43499999999999994</c:v>
                </c:pt>
                <c:pt idx="48">
                  <c:v>0.44000000000000006</c:v>
                </c:pt>
                <c:pt idx="49">
                  <c:v>0.47000000000000003</c:v>
                </c:pt>
                <c:pt idx="50">
                  <c:v>0.53</c:v>
                </c:pt>
                <c:pt idx="51">
                  <c:v>0.24285714285714283</c:v>
                </c:pt>
                <c:pt idx="52">
                  <c:v>0.24761904761904763</c:v>
                </c:pt>
                <c:pt idx="53">
                  <c:v>0.24761904761904763</c:v>
                </c:pt>
                <c:pt idx="54">
                  <c:v>0.28095238095238095</c:v>
                </c:pt>
                <c:pt idx="55">
                  <c:v>0.32380952380952382</c:v>
                </c:pt>
                <c:pt idx="56">
                  <c:v>0.38095238095238093</c:v>
                </c:pt>
                <c:pt idx="57">
                  <c:v>0.4</c:v>
                </c:pt>
                <c:pt idx="58">
                  <c:v>0.3</c:v>
                </c:pt>
                <c:pt idx="59">
                  <c:v>0.35714285714285715</c:v>
                </c:pt>
                <c:pt idx="60">
                  <c:v>0.38095238095238093</c:v>
                </c:pt>
                <c:pt idx="61">
                  <c:v>0.44761904761904764</c:v>
                </c:pt>
                <c:pt idx="62">
                  <c:v>0.45714285714285713</c:v>
                </c:pt>
                <c:pt idx="63">
                  <c:v>0.53333333333333333</c:v>
                </c:pt>
                <c:pt idx="64">
                  <c:v>0.58095238095238089</c:v>
                </c:pt>
                <c:pt idx="65">
                  <c:v>0.63333333333333341</c:v>
                </c:pt>
                <c:pt idx="66">
                  <c:v>0.19999999999999998</c:v>
                </c:pt>
                <c:pt idx="67">
                  <c:v>0.39999999999999997</c:v>
                </c:pt>
                <c:pt idx="68">
                  <c:v>0.46666666666666662</c:v>
                </c:pt>
                <c:pt idx="69">
                  <c:v>0.25833333333333336</c:v>
                </c:pt>
                <c:pt idx="70">
                  <c:v>0.45833333333333331</c:v>
                </c:pt>
                <c:pt idx="71">
                  <c:v>0.49583333333333335</c:v>
                </c:pt>
                <c:pt idx="72">
                  <c:v>0.35833333333333334</c:v>
                </c:pt>
                <c:pt idx="73">
                  <c:v>0.45</c:v>
                </c:pt>
                <c:pt idx="74">
                  <c:v>0.60833333333333328</c:v>
                </c:pt>
                <c:pt idx="75">
                  <c:v>0.45200000000000001</c:v>
                </c:pt>
                <c:pt idx="76">
                  <c:v>0.34399999999999997</c:v>
                </c:pt>
                <c:pt idx="77">
                  <c:v>0.28800000000000003</c:v>
                </c:pt>
                <c:pt idx="78">
                  <c:v>0.36</c:v>
                </c:pt>
                <c:pt idx="79">
                  <c:v>0.40399999999999997</c:v>
                </c:pt>
                <c:pt idx="80">
                  <c:v>0.496</c:v>
                </c:pt>
                <c:pt idx="81">
                  <c:v>0.27499999999999997</c:v>
                </c:pt>
                <c:pt idx="82">
                  <c:v>0.35384615384615381</c:v>
                </c:pt>
                <c:pt idx="83">
                  <c:v>0.49090909090909096</c:v>
                </c:pt>
                <c:pt idx="84">
                  <c:v>0.48799999999999999</c:v>
                </c:pt>
                <c:pt idx="85">
                  <c:v>0.58518518518518525</c:v>
                </c:pt>
                <c:pt idx="86">
                  <c:v>0.21428571428571427</c:v>
                </c:pt>
                <c:pt idx="87">
                  <c:v>0.35000000000000003</c:v>
                </c:pt>
                <c:pt idx="88">
                  <c:v>0.35714285714285715</c:v>
                </c:pt>
                <c:pt idx="89">
                  <c:v>0.3</c:v>
                </c:pt>
                <c:pt idx="90">
                  <c:v>0.44285714285714289</c:v>
                </c:pt>
                <c:pt idx="91">
                  <c:v>0.49285714285714288</c:v>
                </c:pt>
                <c:pt idx="92">
                  <c:v>0.39999999999999997</c:v>
                </c:pt>
                <c:pt idx="93">
                  <c:v>0.45</c:v>
                </c:pt>
                <c:pt idx="94">
                  <c:v>0.55714285714285716</c:v>
                </c:pt>
                <c:pt idx="95">
                  <c:v>0.28125</c:v>
                </c:pt>
                <c:pt idx="96">
                  <c:v>0.40625</c:v>
                </c:pt>
                <c:pt idx="97">
                  <c:v>0.46875</c:v>
                </c:pt>
                <c:pt idx="98">
                  <c:v>0.5625</c:v>
                </c:pt>
                <c:pt idx="99">
                  <c:v>0.375</c:v>
                </c:pt>
                <c:pt idx="100">
                  <c:v>0.46875</c:v>
                </c:pt>
                <c:pt idx="101">
                  <c:v>0.5625</c:v>
                </c:pt>
                <c:pt idx="102">
                  <c:v>0.65625</c:v>
                </c:pt>
                <c:pt idx="103">
                  <c:v>0.4375</c:v>
                </c:pt>
                <c:pt idx="104">
                  <c:v>0.5625</c:v>
                </c:pt>
                <c:pt idx="105">
                  <c:v>0.65625</c:v>
                </c:pt>
                <c:pt idx="106">
                  <c:v>0.75</c:v>
                </c:pt>
                <c:pt idx="107">
                  <c:v>0.3125</c:v>
                </c:pt>
                <c:pt idx="108">
                  <c:v>0.4375</c:v>
                </c:pt>
                <c:pt idx="109">
                  <c:v>0.53125</c:v>
                </c:pt>
                <c:pt idx="110">
                  <c:v>0.625</c:v>
                </c:pt>
                <c:pt idx="111">
                  <c:v>0.28125</c:v>
                </c:pt>
                <c:pt idx="112">
                  <c:v>0.34375</c:v>
                </c:pt>
                <c:pt idx="113">
                  <c:v>0.40625</c:v>
                </c:pt>
                <c:pt idx="114">
                  <c:v>0.5</c:v>
                </c:pt>
                <c:pt idx="115">
                  <c:v>0.25</c:v>
                </c:pt>
                <c:pt idx="116">
                  <c:v>0.3125</c:v>
                </c:pt>
                <c:pt idx="117">
                  <c:v>0.40625</c:v>
                </c:pt>
                <c:pt idx="118">
                  <c:v>0.5</c:v>
                </c:pt>
                <c:pt idx="119">
                  <c:v>0.25</c:v>
                </c:pt>
                <c:pt idx="120">
                  <c:v>0.3125</c:v>
                </c:pt>
                <c:pt idx="121">
                  <c:v>0.40625</c:v>
                </c:pt>
                <c:pt idx="122">
                  <c:v>0.46875</c:v>
                </c:pt>
                <c:pt idx="123">
                  <c:v>0.34375</c:v>
                </c:pt>
                <c:pt idx="124">
                  <c:v>0.4375</c:v>
                </c:pt>
                <c:pt idx="125">
                  <c:v>0.5</c:v>
                </c:pt>
                <c:pt idx="126">
                  <c:v>0.59375</c:v>
                </c:pt>
                <c:pt idx="127">
                  <c:v>0.40625</c:v>
                </c:pt>
                <c:pt idx="128">
                  <c:v>0.46875</c:v>
                </c:pt>
                <c:pt idx="129">
                  <c:v>0.53125</c:v>
                </c:pt>
                <c:pt idx="130">
                  <c:v>0.65625</c:v>
                </c:pt>
                <c:pt idx="131">
                  <c:v>0.34375</c:v>
                </c:pt>
                <c:pt idx="132">
                  <c:v>0.4375</c:v>
                </c:pt>
                <c:pt idx="133">
                  <c:v>0.46875</c:v>
                </c:pt>
                <c:pt idx="134">
                  <c:v>0.59375</c:v>
                </c:pt>
                <c:pt idx="135">
                  <c:v>0.25</c:v>
                </c:pt>
                <c:pt idx="136">
                  <c:v>0.3125</c:v>
                </c:pt>
                <c:pt idx="137">
                  <c:v>0.375</c:v>
                </c:pt>
                <c:pt idx="138">
                  <c:v>0.4375</c:v>
                </c:pt>
                <c:pt idx="139">
                  <c:v>0.24242424242424243</c:v>
                </c:pt>
                <c:pt idx="140">
                  <c:v>0.30303030303030304</c:v>
                </c:pt>
                <c:pt idx="141">
                  <c:v>0.36363636363636365</c:v>
                </c:pt>
                <c:pt idx="142">
                  <c:v>0.42424242424242425</c:v>
                </c:pt>
                <c:pt idx="143">
                  <c:v>0.24242424242424243</c:v>
                </c:pt>
                <c:pt idx="144">
                  <c:v>0.30303030303030304</c:v>
                </c:pt>
                <c:pt idx="145">
                  <c:v>0.33333333333333331</c:v>
                </c:pt>
                <c:pt idx="146">
                  <c:v>0.42424242424242425</c:v>
                </c:pt>
                <c:pt idx="147">
                  <c:v>0.18181818181818182</c:v>
                </c:pt>
                <c:pt idx="148">
                  <c:v>0.24242424242424243</c:v>
                </c:pt>
                <c:pt idx="149">
                  <c:v>0.27272727272727271</c:v>
                </c:pt>
                <c:pt idx="150">
                  <c:v>0.33333333333333331</c:v>
                </c:pt>
                <c:pt idx="151">
                  <c:v>0.27272727272727271</c:v>
                </c:pt>
                <c:pt idx="152">
                  <c:v>0.30303030303030304</c:v>
                </c:pt>
                <c:pt idx="153">
                  <c:v>0.33333333333333331</c:v>
                </c:pt>
                <c:pt idx="154">
                  <c:v>0.39393939393939392</c:v>
                </c:pt>
                <c:pt idx="155">
                  <c:v>0.38095238095238093</c:v>
                </c:pt>
                <c:pt idx="156">
                  <c:v>0.42857142857142855</c:v>
                </c:pt>
                <c:pt idx="157">
                  <c:v>0.5714285714285714</c:v>
                </c:pt>
                <c:pt idx="158">
                  <c:v>0.4</c:v>
                </c:pt>
                <c:pt idx="159">
                  <c:v>0.36666666666666664</c:v>
                </c:pt>
                <c:pt idx="160">
                  <c:v>0.53333333333333333</c:v>
                </c:pt>
                <c:pt idx="161">
                  <c:v>0.55000000000000004</c:v>
                </c:pt>
                <c:pt idx="162">
                  <c:v>0.27692307692307694</c:v>
                </c:pt>
                <c:pt idx="163">
                  <c:v>0.35384615384615387</c:v>
                </c:pt>
                <c:pt idx="164">
                  <c:v>0.41538461538461541</c:v>
                </c:pt>
                <c:pt idx="165">
                  <c:v>0.49230769230769234</c:v>
                </c:pt>
                <c:pt idx="166">
                  <c:v>0.26153846153846155</c:v>
                </c:pt>
                <c:pt idx="167">
                  <c:v>0.32307692307692309</c:v>
                </c:pt>
                <c:pt idx="168">
                  <c:v>0.36923076923076925</c:v>
                </c:pt>
                <c:pt idx="169">
                  <c:v>0.24285714285714285</c:v>
                </c:pt>
                <c:pt idx="170">
                  <c:v>0.4</c:v>
                </c:pt>
                <c:pt idx="171">
                  <c:v>0.52857142857142858</c:v>
                </c:pt>
                <c:pt idx="172">
                  <c:v>0.40845070422535212</c:v>
                </c:pt>
                <c:pt idx="173">
                  <c:v>0.3125</c:v>
                </c:pt>
                <c:pt idx="174">
                  <c:v>0.36249999999999999</c:v>
                </c:pt>
                <c:pt idx="175">
                  <c:v>0.4375</c:v>
                </c:pt>
                <c:pt idx="176">
                  <c:v>0.48749999999999999</c:v>
                </c:pt>
                <c:pt idx="177">
                  <c:v>0.29629629629629628</c:v>
                </c:pt>
                <c:pt idx="178">
                  <c:v>0.33333333333333331</c:v>
                </c:pt>
                <c:pt idx="179">
                  <c:v>0.39506172839506171</c:v>
                </c:pt>
                <c:pt idx="180">
                  <c:v>0.28048780487804881</c:v>
                </c:pt>
                <c:pt idx="181">
                  <c:v>0.31707317073170732</c:v>
                </c:pt>
                <c:pt idx="182">
                  <c:v>0.35365853658536583</c:v>
                </c:pt>
                <c:pt idx="183">
                  <c:v>0.3902439024390244</c:v>
                </c:pt>
                <c:pt idx="184">
                  <c:v>0.45121951219512196</c:v>
                </c:pt>
                <c:pt idx="185">
                  <c:v>0.25301204819277107</c:v>
                </c:pt>
                <c:pt idx="186">
                  <c:v>0.34146341463414637</c:v>
                </c:pt>
                <c:pt idx="187">
                  <c:v>0.45121951219512196</c:v>
                </c:pt>
                <c:pt idx="188">
                  <c:v>0.51219512195121952</c:v>
                </c:pt>
                <c:pt idx="189">
                  <c:v>0.33734939759036142</c:v>
                </c:pt>
                <c:pt idx="190">
                  <c:v>0.43373493975903615</c:v>
                </c:pt>
                <c:pt idx="191">
                  <c:v>0.45783132530120479</c:v>
                </c:pt>
                <c:pt idx="192">
                  <c:v>0.51190476190476186</c:v>
                </c:pt>
                <c:pt idx="193">
                  <c:v>0.62352941176470589</c:v>
                </c:pt>
                <c:pt idx="194">
                  <c:v>0.41176470588235292</c:v>
                </c:pt>
                <c:pt idx="195">
                  <c:v>0.45882352941176469</c:v>
                </c:pt>
                <c:pt idx="196">
                  <c:v>0.57647058823529407</c:v>
                </c:pt>
                <c:pt idx="197">
                  <c:v>0.61176470588235299</c:v>
                </c:pt>
                <c:pt idx="198">
                  <c:v>0.2558139534883721</c:v>
                </c:pt>
                <c:pt idx="199">
                  <c:v>0.38372093023255816</c:v>
                </c:pt>
                <c:pt idx="200">
                  <c:v>0.5</c:v>
                </c:pt>
                <c:pt idx="201">
                  <c:v>0.39560439560439559</c:v>
                </c:pt>
                <c:pt idx="202">
                  <c:v>0.30693069306930693</c:v>
                </c:pt>
                <c:pt idx="203">
                  <c:v>0.37113402061855671</c:v>
                </c:pt>
                <c:pt idx="204">
                  <c:v>0.4329896907216495</c:v>
                </c:pt>
                <c:pt idx="205">
                  <c:v>0.51020408163265307</c:v>
                </c:pt>
                <c:pt idx="206">
                  <c:v>0.44247787610619471</c:v>
                </c:pt>
                <c:pt idx="207">
                  <c:v>0.24369747899159663</c:v>
                </c:pt>
                <c:pt idx="208">
                  <c:v>0.33613445378151263</c:v>
                </c:pt>
                <c:pt idx="209">
                  <c:v>0.34453781512605042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116672"/>
        <c:axId val="292117248"/>
      </c:scatterChart>
      <c:valAx>
        <c:axId val="29211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age</a:t>
                </a:r>
              </a:p>
            </c:rich>
          </c:tx>
          <c:layout>
            <c:manualLayout>
              <c:xMode val="edge"/>
              <c:yMode val="edge"/>
              <c:x val="0.52593955272585557"/>
              <c:y val="0.861818181818181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117248"/>
        <c:crosses val="autoZero"/>
        <c:crossBetween val="midCat"/>
      </c:valAx>
      <c:valAx>
        <c:axId val="292117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delta diam</a:t>
                </a:r>
              </a:p>
            </c:rich>
          </c:tx>
          <c:layout>
            <c:manualLayout>
              <c:xMode val="edge"/>
              <c:yMode val="edge"/>
              <c:x val="2.8622540250447227E-2"/>
              <c:y val="0.18909090909090909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11667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07142857142858"/>
          <c:y val="9.4203231867187029E-2"/>
          <c:w val="0.83750000000000002"/>
          <c:h val="0.6557994218446481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'Burger_Tab. 10'!$C$6:$C$215</c:f>
              <c:numCache>
                <c:formatCode>General</c:formatCode>
                <c:ptCount val="210"/>
                <c:pt idx="0">
                  <c:v>12</c:v>
                </c:pt>
                <c:pt idx="1">
                  <c:v>12</c:v>
                </c:pt>
                <c:pt idx="2">
                  <c:v>18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21</c:v>
                </c:pt>
                <c:pt idx="52">
                  <c:v>21</c:v>
                </c:pt>
                <c:pt idx="53">
                  <c:v>21</c:v>
                </c:pt>
                <c:pt idx="54">
                  <c:v>21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21</c:v>
                </c:pt>
                <c:pt idx="59">
                  <c:v>21</c:v>
                </c:pt>
                <c:pt idx="60">
                  <c:v>21</c:v>
                </c:pt>
                <c:pt idx="61">
                  <c:v>21</c:v>
                </c:pt>
                <c:pt idx="62">
                  <c:v>21</c:v>
                </c:pt>
                <c:pt idx="63">
                  <c:v>21</c:v>
                </c:pt>
                <c:pt idx="64">
                  <c:v>21</c:v>
                </c:pt>
                <c:pt idx="65">
                  <c:v>21</c:v>
                </c:pt>
                <c:pt idx="66">
                  <c:v>24</c:v>
                </c:pt>
                <c:pt idx="67">
                  <c:v>24</c:v>
                </c:pt>
                <c:pt idx="68">
                  <c:v>24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24</c:v>
                </c:pt>
                <c:pt idx="74">
                  <c:v>24</c:v>
                </c:pt>
                <c:pt idx="75">
                  <c:v>25</c:v>
                </c:pt>
                <c:pt idx="76">
                  <c:v>25</c:v>
                </c:pt>
                <c:pt idx="77">
                  <c:v>25</c:v>
                </c:pt>
                <c:pt idx="78">
                  <c:v>25</c:v>
                </c:pt>
                <c:pt idx="79">
                  <c:v>25</c:v>
                </c:pt>
                <c:pt idx="80">
                  <c:v>25</c:v>
                </c:pt>
                <c:pt idx="81">
                  <c:v>24</c:v>
                </c:pt>
                <c:pt idx="82">
                  <c:v>26</c:v>
                </c:pt>
                <c:pt idx="83">
                  <c:v>22</c:v>
                </c:pt>
                <c:pt idx="84">
                  <c:v>25</c:v>
                </c:pt>
                <c:pt idx="85">
                  <c:v>27</c:v>
                </c:pt>
                <c:pt idx="86">
                  <c:v>28</c:v>
                </c:pt>
                <c:pt idx="87">
                  <c:v>28</c:v>
                </c:pt>
                <c:pt idx="88">
                  <c:v>28</c:v>
                </c:pt>
                <c:pt idx="89">
                  <c:v>28</c:v>
                </c:pt>
                <c:pt idx="90">
                  <c:v>28</c:v>
                </c:pt>
                <c:pt idx="91">
                  <c:v>28</c:v>
                </c:pt>
                <c:pt idx="92">
                  <c:v>28</c:v>
                </c:pt>
                <c:pt idx="93">
                  <c:v>28</c:v>
                </c:pt>
                <c:pt idx="94">
                  <c:v>28</c:v>
                </c:pt>
                <c:pt idx="95">
                  <c:v>32</c:v>
                </c:pt>
                <c:pt idx="96">
                  <c:v>32</c:v>
                </c:pt>
                <c:pt idx="97">
                  <c:v>32</c:v>
                </c:pt>
                <c:pt idx="98">
                  <c:v>32</c:v>
                </c:pt>
                <c:pt idx="99">
                  <c:v>32</c:v>
                </c:pt>
                <c:pt idx="100">
                  <c:v>32</c:v>
                </c:pt>
                <c:pt idx="101">
                  <c:v>32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32</c:v>
                </c:pt>
                <c:pt idx="113">
                  <c:v>32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32</c:v>
                </c:pt>
                <c:pt idx="118">
                  <c:v>32</c:v>
                </c:pt>
                <c:pt idx="119">
                  <c:v>32</c:v>
                </c:pt>
                <c:pt idx="120">
                  <c:v>32</c:v>
                </c:pt>
                <c:pt idx="121">
                  <c:v>32</c:v>
                </c:pt>
                <c:pt idx="122">
                  <c:v>32</c:v>
                </c:pt>
                <c:pt idx="123">
                  <c:v>32</c:v>
                </c:pt>
                <c:pt idx="124">
                  <c:v>32</c:v>
                </c:pt>
                <c:pt idx="125">
                  <c:v>32</c:v>
                </c:pt>
                <c:pt idx="126">
                  <c:v>32</c:v>
                </c:pt>
                <c:pt idx="127">
                  <c:v>32</c:v>
                </c:pt>
                <c:pt idx="128">
                  <c:v>32</c:v>
                </c:pt>
                <c:pt idx="129">
                  <c:v>32</c:v>
                </c:pt>
                <c:pt idx="130">
                  <c:v>32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32</c:v>
                </c:pt>
                <c:pt idx="138">
                  <c:v>32</c:v>
                </c:pt>
                <c:pt idx="139">
                  <c:v>33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4">
                  <c:v>33</c:v>
                </c:pt>
                <c:pt idx="145">
                  <c:v>33</c:v>
                </c:pt>
                <c:pt idx="146">
                  <c:v>33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33</c:v>
                </c:pt>
                <c:pt idx="151">
                  <c:v>33</c:v>
                </c:pt>
                <c:pt idx="152">
                  <c:v>33</c:v>
                </c:pt>
                <c:pt idx="153">
                  <c:v>33</c:v>
                </c:pt>
                <c:pt idx="154">
                  <c:v>33</c:v>
                </c:pt>
                <c:pt idx="155">
                  <c:v>42</c:v>
                </c:pt>
                <c:pt idx="156">
                  <c:v>42</c:v>
                </c:pt>
                <c:pt idx="157">
                  <c:v>42</c:v>
                </c:pt>
                <c:pt idx="158">
                  <c:v>55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65</c:v>
                </c:pt>
                <c:pt idx="163">
                  <c:v>65</c:v>
                </c:pt>
                <c:pt idx="164">
                  <c:v>65</c:v>
                </c:pt>
                <c:pt idx="165">
                  <c:v>65</c:v>
                </c:pt>
                <c:pt idx="166">
                  <c:v>65</c:v>
                </c:pt>
                <c:pt idx="167">
                  <c:v>65</c:v>
                </c:pt>
                <c:pt idx="168">
                  <c:v>65</c:v>
                </c:pt>
                <c:pt idx="169">
                  <c:v>70</c:v>
                </c:pt>
                <c:pt idx="170">
                  <c:v>70</c:v>
                </c:pt>
                <c:pt idx="171">
                  <c:v>70</c:v>
                </c:pt>
                <c:pt idx="172">
                  <c:v>71</c:v>
                </c:pt>
                <c:pt idx="173">
                  <c:v>80</c:v>
                </c:pt>
                <c:pt idx="174">
                  <c:v>80</c:v>
                </c:pt>
                <c:pt idx="175">
                  <c:v>80</c:v>
                </c:pt>
                <c:pt idx="176">
                  <c:v>80</c:v>
                </c:pt>
                <c:pt idx="177">
                  <c:v>81</c:v>
                </c:pt>
                <c:pt idx="178">
                  <c:v>81</c:v>
                </c:pt>
                <c:pt idx="179">
                  <c:v>81</c:v>
                </c:pt>
                <c:pt idx="180">
                  <c:v>82</c:v>
                </c:pt>
                <c:pt idx="181">
                  <c:v>82</c:v>
                </c:pt>
                <c:pt idx="182">
                  <c:v>82</c:v>
                </c:pt>
                <c:pt idx="183">
                  <c:v>82</c:v>
                </c:pt>
                <c:pt idx="184">
                  <c:v>82</c:v>
                </c:pt>
                <c:pt idx="185">
                  <c:v>83</c:v>
                </c:pt>
                <c:pt idx="186">
                  <c:v>82</c:v>
                </c:pt>
                <c:pt idx="187">
                  <c:v>82</c:v>
                </c:pt>
                <c:pt idx="188">
                  <c:v>82</c:v>
                </c:pt>
                <c:pt idx="189">
                  <c:v>83</c:v>
                </c:pt>
                <c:pt idx="190">
                  <c:v>83</c:v>
                </c:pt>
                <c:pt idx="191">
                  <c:v>83</c:v>
                </c:pt>
                <c:pt idx="192">
                  <c:v>84</c:v>
                </c:pt>
                <c:pt idx="193">
                  <c:v>85</c:v>
                </c:pt>
                <c:pt idx="194">
                  <c:v>85</c:v>
                </c:pt>
                <c:pt idx="195">
                  <c:v>85</c:v>
                </c:pt>
                <c:pt idx="196">
                  <c:v>85</c:v>
                </c:pt>
                <c:pt idx="197">
                  <c:v>85</c:v>
                </c:pt>
                <c:pt idx="198">
                  <c:v>86</c:v>
                </c:pt>
                <c:pt idx="199">
                  <c:v>86</c:v>
                </c:pt>
                <c:pt idx="200">
                  <c:v>86</c:v>
                </c:pt>
                <c:pt idx="201">
                  <c:v>91</c:v>
                </c:pt>
                <c:pt idx="202">
                  <c:v>101</c:v>
                </c:pt>
                <c:pt idx="203">
                  <c:v>97</c:v>
                </c:pt>
                <c:pt idx="204">
                  <c:v>97</c:v>
                </c:pt>
                <c:pt idx="205">
                  <c:v>98</c:v>
                </c:pt>
                <c:pt idx="206">
                  <c:v>113</c:v>
                </c:pt>
                <c:pt idx="207">
                  <c:v>119</c:v>
                </c:pt>
                <c:pt idx="208">
                  <c:v>119</c:v>
                </c:pt>
                <c:pt idx="209">
                  <c:v>119</c:v>
                </c:pt>
              </c:numCache>
            </c:numRef>
          </c:xVal>
          <c:yVal>
            <c:numRef>
              <c:f>'Burger_Tab. 10'!$D$6:$D$215</c:f>
              <c:numCache>
                <c:formatCode>General</c:formatCode>
                <c:ptCount val="210"/>
                <c:pt idx="0">
                  <c:v>2.6</c:v>
                </c:pt>
                <c:pt idx="1">
                  <c:v>3.3</c:v>
                </c:pt>
                <c:pt idx="2">
                  <c:v>13.8</c:v>
                </c:pt>
                <c:pt idx="3">
                  <c:v>4.8</c:v>
                </c:pt>
                <c:pt idx="4">
                  <c:v>8.1999999999999993</c:v>
                </c:pt>
                <c:pt idx="5">
                  <c:v>9.9</c:v>
                </c:pt>
                <c:pt idx="6">
                  <c:v>11.2</c:v>
                </c:pt>
                <c:pt idx="7">
                  <c:v>6</c:v>
                </c:pt>
                <c:pt idx="8">
                  <c:v>6.4</c:v>
                </c:pt>
                <c:pt idx="9">
                  <c:v>7.6</c:v>
                </c:pt>
                <c:pt idx="10">
                  <c:v>9</c:v>
                </c:pt>
                <c:pt idx="11">
                  <c:v>9</c:v>
                </c:pt>
                <c:pt idx="12">
                  <c:v>10.7</c:v>
                </c:pt>
                <c:pt idx="13">
                  <c:v>7.6</c:v>
                </c:pt>
                <c:pt idx="14">
                  <c:v>7.8</c:v>
                </c:pt>
                <c:pt idx="15">
                  <c:v>7.8</c:v>
                </c:pt>
                <c:pt idx="16">
                  <c:v>10.199999999999999</c:v>
                </c:pt>
                <c:pt idx="17">
                  <c:v>7.4</c:v>
                </c:pt>
                <c:pt idx="18">
                  <c:v>10.199999999999999</c:v>
                </c:pt>
                <c:pt idx="19">
                  <c:v>10.5</c:v>
                </c:pt>
                <c:pt idx="20">
                  <c:v>11.6</c:v>
                </c:pt>
                <c:pt idx="21">
                  <c:v>6.4</c:v>
                </c:pt>
                <c:pt idx="22">
                  <c:v>9.1</c:v>
                </c:pt>
                <c:pt idx="23">
                  <c:v>11</c:v>
                </c:pt>
                <c:pt idx="24">
                  <c:v>12</c:v>
                </c:pt>
                <c:pt idx="25">
                  <c:v>6.4</c:v>
                </c:pt>
                <c:pt idx="26">
                  <c:v>8</c:v>
                </c:pt>
                <c:pt idx="27">
                  <c:v>8.6999999999999993</c:v>
                </c:pt>
                <c:pt idx="28">
                  <c:v>11.4</c:v>
                </c:pt>
                <c:pt idx="29">
                  <c:v>6.8</c:v>
                </c:pt>
                <c:pt idx="30">
                  <c:v>7.7</c:v>
                </c:pt>
                <c:pt idx="31">
                  <c:v>9.6</c:v>
                </c:pt>
                <c:pt idx="32">
                  <c:v>12.2</c:v>
                </c:pt>
                <c:pt idx="33">
                  <c:v>5.2</c:v>
                </c:pt>
                <c:pt idx="34">
                  <c:v>7.4</c:v>
                </c:pt>
                <c:pt idx="35">
                  <c:v>8.1999999999999993</c:v>
                </c:pt>
                <c:pt idx="36">
                  <c:v>10.1</c:v>
                </c:pt>
                <c:pt idx="37">
                  <c:v>11.5</c:v>
                </c:pt>
                <c:pt idx="38">
                  <c:v>4.5999999999999996</c:v>
                </c:pt>
                <c:pt idx="39">
                  <c:v>5.5</c:v>
                </c:pt>
                <c:pt idx="40">
                  <c:v>7.2</c:v>
                </c:pt>
                <c:pt idx="41">
                  <c:v>8.1999999999999993</c:v>
                </c:pt>
                <c:pt idx="42">
                  <c:v>9.8000000000000007</c:v>
                </c:pt>
                <c:pt idx="43">
                  <c:v>7.3</c:v>
                </c:pt>
                <c:pt idx="44">
                  <c:v>9.1</c:v>
                </c:pt>
                <c:pt idx="45">
                  <c:v>9.8000000000000007</c:v>
                </c:pt>
                <c:pt idx="46">
                  <c:v>14.6</c:v>
                </c:pt>
                <c:pt idx="47">
                  <c:v>8.6999999999999993</c:v>
                </c:pt>
                <c:pt idx="48">
                  <c:v>8.8000000000000007</c:v>
                </c:pt>
                <c:pt idx="49">
                  <c:v>9.4</c:v>
                </c:pt>
                <c:pt idx="50">
                  <c:v>10.6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5.2</c:v>
                </c:pt>
                <c:pt idx="54">
                  <c:v>5.9</c:v>
                </c:pt>
                <c:pt idx="55">
                  <c:v>6.8</c:v>
                </c:pt>
                <c:pt idx="56">
                  <c:v>8</c:v>
                </c:pt>
                <c:pt idx="57">
                  <c:v>8.4</c:v>
                </c:pt>
                <c:pt idx="58">
                  <c:v>6.3</c:v>
                </c:pt>
                <c:pt idx="59">
                  <c:v>7.5</c:v>
                </c:pt>
                <c:pt idx="60">
                  <c:v>8</c:v>
                </c:pt>
                <c:pt idx="61">
                  <c:v>9.4</c:v>
                </c:pt>
                <c:pt idx="62">
                  <c:v>9.6</c:v>
                </c:pt>
                <c:pt idx="63">
                  <c:v>11.2</c:v>
                </c:pt>
                <c:pt idx="64">
                  <c:v>12.2</c:v>
                </c:pt>
                <c:pt idx="65">
                  <c:v>13.3</c:v>
                </c:pt>
                <c:pt idx="66">
                  <c:v>4.8</c:v>
                </c:pt>
                <c:pt idx="67">
                  <c:v>9.6</c:v>
                </c:pt>
                <c:pt idx="68">
                  <c:v>11.2</c:v>
                </c:pt>
                <c:pt idx="69">
                  <c:v>6.2</c:v>
                </c:pt>
                <c:pt idx="70">
                  <c:v>11</c:v>
                </c:pt>
                <c:pt idx="71">
                  <c:v>11.9</c:v>
                </c:pt>
                <c:pt idx="72">
                  <c:v>8.6</c:v>
                </c:pt>
                <c:pt idx="73">
                  <c:v>10.8</c:v>
                </c:pt>
                <c:pt idx="74">
                  <c:v>14.6</c:v>
                </c:pt>
                <c:pt idx="75">
                  <c:v>11.3</c:v>
                </c:pt>
                <c:pt idx="76">
                  <c:v>8.6</c:v>
                </c:pt>
                <c:pt idx="77">
                  <c:v>7.2</c:v>
                </c:pt>
                <c:pt idx="78">
                  <c:v>9</c:v>
                </c:pt>
                <c:pt idx="79">
                  <c:v>10.1</c:v>
                </c:pt>
                <c:pt idx="80">
                  <c:v>12.4</c:v>
                </c:pt>
                <c:pt idx="81">
                  <c:v>6.6</c:v>
                </c:pt>
                <c:pt idx="82">
                  <c:v>9.1999999999999993</c:v>
                </c:pt>
                <c:pt idx="83">
                  <c:v>10.8</c:v>
                </c:pt>
                <c:pt idx="84">
                  <c:v>12.2</c:v>
                </c:pt>
                <c:pt idx="85">
                  <c:v>15.8</c:v>
                </c:pt>
                <c:pt idx="86">
                  <c:v>6</c:v>
                </c:pt>
                <c:pt idx="87">
                  <c:v>9.8000000000000007</c:v>
                </c:pt>
                <c:pt idx="88">
                  <c:v>10</c:v>
                </c:pt>
                <c:pt idx="89">
                  <c:v>8.4</c:v>
                </c:pt>
                <c:pt idx="90">
                  <c:v>12.4</c:v>
                </c:pt>
                <c:pt idx="91">
                  <c:v>13.8</c:v>
                </c:pt>
                <c:pt idx="92">
                  <c:v>11.2</c:v>
                </c:pt>
                <c:pt idx="93">
                  <c:v>12.6</c:v>
                </c:pt>
                <c:pt idx="94">
                  <c:v>15.6</c:v>
                </c:pt>
                <c:pt idx="95">
                  <c:v>9</c:v>
                </c:pt>
                <c:pt idx="96">
                  <c:v>13</c:v>
                </c:pt>
                <c:pt idx="97">
                  <c:v>15</c:v>
                </c:pt>
                <c:pt idx="98">
                  <c:v>18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21</c:v>
                </c:pt>
                <c:pt idx="103">
                  <c:v>14</c:v>
                </c:pt>
                <c:pt idx="104">
                  <c:v>18</c:v>
                </c:pt>
                <c:pt idx="105">
                  <c:v>21</c:v>
                </c:pt>
                <c:pt idx="106">
                  <c:v>24</c:v>
                </c:pt>
                <c:pt idx="107">
                  <c:v>10</c:v>
                </c:pt>
                <c:pt idx="108">
                  <c:v>14</c:v>
                </c:pt>
                <c:pt idx="109">
                  <c:v>17</c:v>
                </c:pt>
                <c:pt idx="110">
                  <c:v>20</c:v>
                </c:pt>
                <c:pt idx="111">
                  <c:v>9</c:v>
                </c:pt>
                <c:pt idx="112">
                  <c:v>11</c:v>
                </c:pt>
                <c:pt idx="113">
                  <c:v>13</c:v>
                </c:pt>
                <c:pt idx="114">
                  <c:v>16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16</c:v>
                </c:pt>
                <c:pt idx="119">
                  <c:v>8</c:v>
                </c:pt>
                <c:pt idx="120">
                  <c:v>10</c:v>
                </c:pt>
                <c:pt idx="121">
                  <c:v>13</c:v>
                </c:pt>
                <c:pt idx="122">
                  <c:v>15</c:v>
                </c:pt>
                <c:pt idx="123">
                  <c:v>11</c:v>
                </c:pt>
                <c:pt idx="124">
                  <c:v>14</c:v>
                </c:pt>
                <c:pt idx="125">
                  <c:v>16</c:v>
                </c:pt>
                <c:pt idx="126">
                  <c:v>19</c:v>
                </c:pt>
                <c:pt idx="127">
                  <c:v>13</c:v>
                </c:pt>
                <c:pt idx="128">
                  <c:v>15</c:v>
                </c:pt>
                <c:pt idx="129">
                  <c:v>17</c:v>
                </c:pt>
                <c:pt idx="130">
                  <c:v>21</c:v>
                </c:pt>
                <c:pt idx="131">
                  <c:v>11</c:v>
                </c:pt>
                <c:pt idx="132">
                  <c:v>14</c:v>
                </c:pt>
                <c:pt idx="133">
                  <c:v>15</c:v>
                </c:pt>
                <c:pt idx="134">
                  <c:v>19</c:v>
                </c:pt>
                <c:pt idx="135">
                  <c:v>8</c:v>
                </c:pt>
                <c:pt idx="136">
                  <c:v>10</c:v>
                </c:pt>
                <c:pt idx="137">
                  <c:v>12</c:v>
                </c:pt>
                <c:pt idx="138">
                  <c:v>14</c:v>
                </c:pt>
                <c:pt idx="139">
                  <c:v>8</c:v>
                </c:pt>
                <c:pt idx="140">
                  <c:v>10</c:v>
                </c:pt>
                <c:pt idx="141">
                  <c:v>12</c:v>
                </c:pt>
                <c:pt idx="142">
                  <c:v>14</c:v>
                </c:pt>
                <c:pt idx="143">
                  <c:v>8</c:v>
                </c:pt>
                <c:pt idx="144">
                  <c:v>10</c:v>
                </c:pt>
                <c:pt idx="145">
                  <c:v>11</c:v>
                </c:pt>
                <c:pt idx="146">
                  <c:v>14</c:v>
                </c:pt>
                <c:pt idx="147">
                  <c:v>6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10</c:v>
                </c:pt>
                <c:pt idx="153">
                  <c:v>11</c:v>
                </c:pt>
                <c:pt idx="154">
                  <c:v>13</c:v>
                </c:pt>
                <c:pt idx="155">
                  <c:v>16</c:v>
                </c:pt>
                <c:pt idx="156">
                  <c:v>18</c:v>
                </c:pt>
                <c:pt idx="157">
                  <c:v>24</c:v>
                </c:pt>
                <c:pt idx="158">
                  <c:v>22</c:v>
                </c:pt>
                <c:pt idx="159">
                  <c:v>22</c:v>
                </c:pt>
                <c:pt idx="160">
                  <c:v>32</c:v>
                </c:pt>
                <c:pt idx="161">
                  <c:v>33</c:v>
                </c:pt>
                <c:pt idx="162">
                  <c:v>18</c:v>
                </c:pt>
                <c:pt idx="163">
                  <c:v>23</c:v>
                </c:pt>
                <c:pt idx="164">
                  <c:v>27</c:v>
                </c:pt>
                <c:pt idx="165">
                  <c:v>32</c:v>
                </c:pt>
                <c:pt idx="166">
                  <c:v>17</c:v>
                </c:pt>
                <c:pt idx="167">
                  <c:v>21</c:v>
                </c:pt>
                <c:pt idx="168">
                  <c:v>24</c:v>
                </c:pt>
                <c:pt idx="169">
                  <c:v>17</c:v>
                </c:pt>
                <c:pt idx="170">
                  <c:v>28</c:v>
                </c:pt>
                <c:pt idx="171">
                  <c:v>37</c:v>
                </c:pt>
                <c:pt idx="172">
                  <c:v>29</c:v>
                </c:pt>
                <c:pt idx="173">
                  <c:v>25</c:v>
                </c:pt>
                <c:pt idx="174">
                  <c:v>29</c:v>
                </c:pt>
                <c:pt idx="175">
                  <c:v>35</c:v>
                </c:pt>
                <c:pt idx="176">
                  <c:v>39</c:v>
                </c:pt>
                <c:pt idx="177">
                  <c:v>24</c:v>
                </c:pt>
                <c:pt idx="178">
                  <c:v>27</c:v>
                </c:pt>
                <c:pt idx="179">
                  <c:v>32</c:v>
                </c:pt>
                <c:pt idx="180">
                  <c:v>23</c:v>
                </c:pt>
                <c:pt idx="181">
                  <c:v>26</c:v>
                </c:pt>
                <c:pt idx="182">
                  <c:v>29</c:v>
                </c:pt>
                <c:pt idx="183">
                  <c:v>32</c:v>
                </c:pt>
                <c:pt idx="184">
                  <c:v>37</c:v>
                </c:pt>
                <c:pt idx="185">
                  <c:v>21</c:v>
                </c:pt>
                <c:pt idx="186">
                  <c:v>28</c:v>
                </c:pt>
                <c:pt idx="187">
                  <c:v>37</c:v>
                </c:pt>
                <c:pt idx="188">
                  <c:v>42</c:v>
                </c:pt>
                <c:pt idx="189">
                  <c:v>28</c:v>
                </c:pt>
                <c:pt idx="190">
                  <c:v>36</c:v>
                </c:pt>
                <c:pt idx="191">
                  <c:v>38</c:v>
                </c:pt>
                <c:pt idx="192">
                  <c:v>43</c:v>
                </c:pt>
                <c:pt idx="193">
                  <c:v>53</c:v>
                </c:pt>
                <c:pt idx="194">
                  <c:v>35</c:v>
                </c:pt>
                <c:pt idx="195">
                  <c:v>39</c:v>
                </c:pt>
                <c:pt idx="196">
                  <c:v>49</c:v>
                </c:pt>
                <c:pt idx="197">
                  <c:v>52</c:v>
                </c:pt>
                <c:pt idx="198">
                  <c:v>22</c:v>
                </c:pt>
                <c:pt idx="199">
                  <c:v>33</c:v>
                </c:pt>
                <c:pt idx="200">
                  <c:v>43</c:v>
                </c:pt>
                <c:pt idx="201">
                  <c:v>36</c:v>
                </c:pt>
                <c:pt idx="202">
                  <c:v>31</c:v>
                </c:pt>
                <c:pt idx="203">
                  <c:v>36</c:v>
                </c:pt>
                <c:pt idx="204">
                  <c:v>42</c:v>
                </c:pt>
                <c:pt idx="205">
                  <c:v>50</c:v>
                </c:pt>
                <c:pt idx="206">
                  <c:v>50</c:v>
                </c:pt>
                <c:pt idx="207">
                  <c:v>29</c:v>
                </c:pt>
                <c:pt idx="208">
                  <c:v>40</c:v>
                </c:pt>
                <c:pt idx="209">
                  <c:v>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183360"/>
        <c:axId val="294256640"/>
      </c:scatterChart>
      <c:valAx>
        <c:axId val="29218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age</a:t>
                </a:r>
              </a:p>
            </c:rich>
          </c:tx>
          <c:layout>
            <c:manualLayout>
              <c:xMode val="edge"/>
              <c:yMode val="edge"/>
              <c:x val="0.5089285714285714"/>
              <c:y val="0.862321883677583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256640"/>
        <c:crosses val="autoZero"/>
        <c:crossBetween val="midCat"/>
      </c:valAx>
      <c:valAx>
        <c:axId val="294256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diameter</a:t>
                </a:r>
              </a:p>
            </c:rich>
          </c:tx>
          <c:layout>
            <c:manualLayout>
              <c:xMode val="edge"/>
              <c:yMode val="edge"/>
              <c:x val="2.8571428571428571E-2"/>
              <c:y val="0.311595344060253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18336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E-2"/>
          <c:y val="3.5413153456998317E-2"/>
          <c:w val="0.91770833333333335"/>
          <c:h val="0.8549747048903878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84791666666666665"/>
                  <c:y val="0.3979763912310286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'Burger_Tab. 10'!$E$6:$E$215</c:f>
              <c:numCache>
                <c:formatCode>General</c:formatCode>
                <c:ptCount val="210"/>
                <c:pt idx="0">
                  <c:v>2.8</c:v>
                </c:pt>
                <c:pt idx="1">
                  <c:v>3.1</c:v>
                </c:pt>
                <c:pt idx="2">
                  <c:v>7.4</c:v>
                </c:pt>
                <c:pt idx="3">
                  <c:v>5.6</c:v>
                </c:pt>
                <c:pt idx="4">
                  <c:v>8.8000000000000007</c:v>
                </c:pt>
                <c:pt idx="5">
                  <c:v>8.6</c:v>
                </c:pt>
                <c:pt idx="6">
                  <c:v>9.6</c:v>
                </c:pt>
                <c:pt idx="7">
                  <c:v>7.1</c:v>
                </c:pt>
                <c:pt idx="8">
                  <c:v>8.1</c:v>
                </c:pt>
                <c:pt idx="9">
                  <c:v>7.3</c:v>
                </c:pt>
                <c:pt idx="10">
                  <c:v>8.1999999999999993</c:v>
                </c:pt>
                <c:pt idx="11">
                  <c:v>7.6</c:v>
                </c:pt>
                <c:pt idx="12">
                  <c:v>8.6999999999999993</c:v>
                </c:pt>
                <c:pt idx="13">
                  <c:v>6.9</c:v>
                </c:pt>
                <c:pt idx="14">
                  <c:v>6.8</c:v>
                </c:pt>
                <c:pt idx="15">
                  <c:v>7</c:v>
                </c:pt>
                <c:pt idx="16">
                  <c:v>7.8</c:v>
                </c:pt>
                <c:pt idx="17">
                  <c:v>8.1</c:v>
                </c:pt>
                <c:pt idx="18">
                  <c:v>8.3000000000000007</c:v>
                </c:pt>
                <c:pt idx="19">
                  <c:v>8.4</c:v>
                </c:pt>
                <c:pt idx="20">
                  <c:v>8</c:v>
                </c:pt>
                <c:pt idx="21">
                  <c:v>5.8</c:v>
                </c:pt>
                <c:pt idx="22">
                  <c:v>7</c:v>
                </c:pt>
                <c:pt idx="23">
                  <c:v>7.8</c:v>
                </c:pt>
                <c:pt idx="24">
                  <c:v>7.5</c:v>
                </c:pt>
                <c:pt idx="25">
                  <c:v>6.1</c:v>
                </c:pt>
                <c:pt idx="26">
                  <c:v>6.6</c:v>
                </c:pt>
                <c:pt idx="27">
                  <c:v>7.7</c:v>
                </c:pt>
                <c:pt idx="28">
                  <c:v>7.2</c:v>
                </c:pt>
                <c:pt idx="29">
                  <c:v>7.8</c:v>
                </c:pt>
                <c:pt idx="30">
                  <c:v>7.6</c:v>
                </c:pt>
                <c:pt idx="31">
                  <c:v>8.3000000000000007</c:v>
                </c:pt>
                <c:pt idx="32">
                  <c:v>8.6</c:v>
                </c:pt>
                <c:pt idx="33">
                  <c:v>8</c:v>
                </c:pt>
                <c:pt idx="34">
                  <c:v>8.5</c:v>
                </c:pt>
                <c:pt idx="35">
                  <c:v>8.6</c:v>
                </c:pt>
                <c:pt idx="36">
                  <c:v>9.4</c:v>
                </c:pt>
                <c:pt idx="37">
                  <c:v>9.3000000000000007</c:v>
                </c:pt>
                <c:pt idx="38">
                  <c:v>4.5</c:v>
                </c:pt>
                <c:pt idx="39">
                  <c:v>5.4</c:v>
                </c:pt>
                <c:pt idx="40">
                  <c:v>6.3</c:v>
                </c:pt>
                <c:pt idx="41">
                  <c:v>6.2</c:v>
                </c:pt>
                <c:pt idx="42">
                  <c:v>7.2</c:v>
                </c:pt>
                <c:pt idx="43">
                  <c:v>5.9</c:v>
                </c:pt>
                <c:pt idx="44">
                  <c:v>7.6</c:v>
                </c:pt>
                <c:pt idx="45">
                  <c:v>7</c:v>
                </c:pt>
                <c:pt idx="46">
                  <c:v>8.5</c:v>
                </c:pt>
                <c:pt idx="47">
                  <c:v>6.8</c:v>
                </c:pt>
                <c:pt idx="48">
                  <c:v>7.4</c:v>
                </c:pt>
                <c:pt idx="49">
                  <c:v>7.5</c:v>
                </c:pt>
                <c:pt idx="50">
                  <c:v>7.7</c:v>
                </c:pt>
                <c:pt idx="51">
                  <c:v>5.8</c:v>
                </c:pt>
                <c:pt idx="52">
                  <c:v>7</c:v>
                </c:pt>
                <c:pt idx="53">
                  <c:v>6.6</c:v>
                </c:pt>
                <c:pt idx="54">
                  <c:v>7.2</c:v>
                </c:pt>
                <c:pt idx="55">
                  <c:v>7</c:v>
                </c:pt>
                <c:pt idx="56">
                  <c:v>8.5</c:v>
                </c:pt>
                <c:pt idx="57">
                  <c:v>7.9</c:v>
                </c:pt>
                <c:pt idx="58">
                  <c:v>7.8</c:v>
                </c:pt>
                <c:pt idx="59">
                  <c:v>8.4</c:v>
                </c:pt>
                <c:pt idx="60">
                  <c:v>8.6</c:v>
                </c:pt>
                <c:pt idx="61">
                  <c:v>8.6</c:v>
                </c:pt>
                <c:pt idx="62">
                  <c:v>8.8000000000000007</c:v>
                </c:pt>
                <c:pt idx="63">
                  <c:v>9.4</c:v>
                </c:pt>
                <c:pt idx="64">
                  <c:v>9.1999999999999993</c:v>
                </c:pt>
                <c:pt idx="65">
                  <c:v>9</c:v>
                </c:pt>
                <c:pt idx="66">
                  <c:v>6.4</c:v>
                </c:pt>
                <c:pt idx="67">
                  <c:v>9</c:v>
                </c:pt>
                <c:pt idx="68">
                  <c:v>8.6</c:v>
                </c:pt>
                <c:pt idx="69">
                  <c:v>9.4</c:v>
                </c:pt>
                <c:pt idx="70">
                  <c:v>11.6</c:v>
                </c:pt>
                <c:pt idx="71">
                  <c:v>11.6</c:v>
                </c:pt>
                <c:pt idx="72">
                  <c:v>11</c:v>
                </c:pt>
                <c:pt idx="73">
                  <c:v>12</c:v>
                </c:pt>
                <c:pt idx="74">
                  <c:v>12.6</c:v>
                </c:pt>
                <c:pt idx="75">
                  <c:v>10.8</c:v>
                </c:pt>
                <c:pt idx="76">
                  <c:v>9</c:v>
                </c:pt>
                <c:pt idx="77">
                  <c:v>9.1</c:v>
                </c:pt>
                <c:pt idx="78">
                  <c:v>9.6</c:v>
                </c:pt>
                <c:pt idx="79">
                  <c:v>12.4</c:v>
                </c:pt>
                <c:pt idx="80">
                  <c:v>12.6</c:v>
                </c:pt>
                <c:pt idx="81">
                  <c:v>8</c:v>
                </c:pt>
                <c:pt idx="82">
                  <c:v>9</c:v>
                </c:pt>
                <c:pt idx="83">
                  <c:v>9.8000000000000007</c:v>
                </c:pt>
                <c:pt idx="84">
                  <c:v>10.4</c:v>
                </c:pt>
                <c:pt idx="85">
                  <c:v>10.199999999999999</c:v>
                </c:pt>
                <c:pt idx="86">
                  <c:v>8.4</c:v>
                </c:pt>
                <c:pt idx="87">
                  <c:v>10.199999999999999</c:v>
                </c:pt>
                <c:pt idx="88">
                  <c:v>11.2</c:v>
                </c:pt>
                <c:pt idx="89">
                  <c:v>11.8</c:v>
                </c:pt>
                <c:pt idx="90">
                  <c:v>13.6</c:v>
                </c:pt>
                <c:pt idx="91">
                  <c:v>14.2</c:v>
                </c:pt>
                <c:pt idx="92">
                  <c:v>13.4</c:v>
                </c:pt>
                <c:pt idx="93">
                  <c:v>15</c:v>
                </c:pt>
                <c:pt idx="94">
                  <c:v>14.6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11</c:v>
                </c:pt>
                <c:pt idx="100">
                  <c:v>13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13</c:v>
                </c:pt>
                <c:pt idx="105">
                  <c:v>14</c:v>
                </c:pt>
                <c:pt idx="106">
                  <c:v>13</c:v>
                </c:pt>
                <c:pt idx="107">
                  <c:v>11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8</c:v>
                </c:pt>
                <c:pt idx="112">
                  <c:v>10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11</c:v>
                </c:pt>
                <c:pt idx="120">
                  <c:v>12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17</c:v>
                </c:pt>
                <c:pt idx="127">
                  <c:v>15</c:v>
                </c:pt>
                <c:pt idx="128">
                  <c:v>16</c:v>
                </c:pt>
                <c:pt idx="129">
                  <c:v>18</c:v>
                </c:pt>
                <c:pt idx="130">
                  <c:v>18</c:v>
                </c:pt>
                <c:pt idx="131">
                  <c:v>15</c:v>
                </c:pt>
                <c:pt idx="132">
                  <c:v>16</c:v>
                </c:pt>
                <c:pt idx="133">
                  <c:v>16</c:v>
                </c:pt>
                <c:pt idx="134">
                  <c:v>18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15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21</c:v>
                </c:pt>
                <c:pt idx="156">
                  <c:v>22</c:v>
                </c:pt>
                <c:pt idx="157">
                  <c:v>22</c:v>
                </c:pt>
                <c:pt idx="158">
                  <c:v>21</c:v>
                </c:pt>
                <c:pt idx="159">
                  <c:v>25</c:v>
                </c:pt>
                <c:pt idx="160">
                  <c:v>28</c:v>
                </c:pt>
                <c:pt idx="161">
                  <c:v>25</c:v>
                </c:pt>
                <c:pt idx="162">
                  <c:v>21</c:v>
                </c:pt>
                <c:pt idx="163">
                  <c:v>24</c:v>
                </c:pt>
                <c:pt idx="164">
                  <c:v>25</c:v>
                </c:pt>
                <c:pt idx="165">
                  <c:v>25</c:v>
                </c:pt>
                <c:pt idx="166">
                  <c:v>17</c:v>
                </c:pt>
                <c:pt idx="167">
                  <c:v>18</c:v>
                </c:pt>
                <c:pt idx="168">
                  <c:v>17</c:v>
                </c:pt>
                <c:pt idx="169">
                  <c:v>21</c:v>
                </c:pt>
                <c:pt idx="170">
                  <c:v>26</c:v>
                </c:pt>
                <c:pt idx="171">
                  <c:v>27</c:v>
                </c:pt>
                <c:pt idx="172">
                  <c:v>27</c:v>
                </c:pt>
                <c:pt idx="173">
                  <c:v>27</c:v>
                </c:pt>
                <c:pt idx="174">
                  <c:v>29</c:v>
                </c:pt>
                <c:pt idx="175">
                  <c:v>31</c:v>
                </c:pt>
                <c:pt idx="176">
                  <c:v>31</c:v>
                </c:pt>
                <c:pt idx="177">
                  <c:v>21</c:v>
                </c:pt>
                <c:pt idx="178">
                  <c:v>21</c:v>
                </c:pt>
                <c:pt idx="179">
                  <c:v>21</c:v>
                </c:pt>
                <c:pt idx="180">
                  <c:v>26</c:v>
                </c:pt>
                <c:pt idx="181">
                  <c:v>28</c:v>
                </c:pt>
                <c:pt idx="182">
                  <c:v>27</c:v>
                </c:pt>
                <c:pt idx="183">
                  <c:v>27</c:v>
                </c:pt>
                <c:pt idx="184">
                  <c:v>29</c:v>
                </c:pt>
                <c:pt idx="185">
                  <c:v>21</c:v>
                </c:pt>
                <c:pt idx="186">
                  <c:v>20</c:v>
                </c:pt>
                <c:pt idx="187">
                  <c:v>24</c:v>
                </c:pt>
                <c:pt idx="188">
                  <c:v>22</c:v>
                </c:pt>
                <c:pt idx="189">
                  <c:v>28</c:v>
                </c:pt>
                <c:pt idx="190">
                  <c:v>30</c:v>
                </c:pt>
                <c:pt idx="191">
                  <c:v>30</c:v>
                </c:pt>
                <c:pt idx="192">
                  <c:v>28</c:v>
                </c:pt>
                <c:pt idx="193">
                  <c:v>31</c:v>
                </c:pt>
                <c:pt idx="194">
                  <c:v>29</c:v>
                </c:pt>
                <c:pt idx="195">
                  <c:v>30</c:v>
                </c:pt>
                <c:pt idx="196">
                  <c:v>31</c:v>
                </c:pt>
                <c:pt idx="197">
                  <c:v>31</c:v>
                </c:pt>
                <c:pt idx="198">
                  <c:v>27</c:v>
                </c:pt>
                <c:pt idx="199">
                  <c:v>32</c:v>
                </c:pt>
                <c:pt idx="200">
                  <c:v>33</c:v>
                </c:pt>
                <c:pt idx="201">
                  <c:v>31</c:v>
                </c:pt>
                <c:pt idx="202">
                  <c:v>32</c:v>
                </c:pt>
                <c:pt idx="203">
                  <c:v>32</c:v>
                </c:pt>
                <c:pt idx="204">
                  <c:v>30</c:v>
                </c:pt>
                <c:pt idx="205">
                  <c:v>34</c:v>
                </c:pt>
                <c:pt idx="206">
                  <c:v>25</c:v>
                </c:pt>
                <c:pt idx="207">
                  <c:v>22</c:v>
                </c:pt>
                <c:pt idx="208">
                  <c:v>31</c:v>
                </c:pt>
                <c:pt idx="209">
                  <c:v>33</c:v>
                </c:pt>
              </c:numCache>
            </c:numRef>
          </c:xVal>
          <c:yVal>
            <c:numRef>
              <c:f>'Burger_Tab. 10'!$AA$6:$AA$215</c:f>
              <c:numCache>
                <c:formatCode>General</c:formatCode>
                <c:ptCount val="210"/>
                <c:pt idx="0">
                  <c:v>0.93269819788820507</c:v>
                </c:pt>
                <c:pt idx="1">
                  <c:v>2.2783867434554796</c:v>
                </c:pt>
                <c:pt idx="2">
                  <c:v>10.483106228603413</c:v>
                </c:pt>
                <c:pt idx="3">
                  <c:v>0.83466123245992896</c:v>
                </c:pt>
                <c:pt idx="4">
                  <c:v>2.3621703293231273</c:v>
                </c:pt>
                <c:pt idx="5">
                  <c:v>3.2689755279634181</c:v>
                </c:pt>
                <c:pt idx="6">
                  <c:v>4.1214971931123969</c:v>
                </c:pt>
                <c:pt idx="7">
                  <c:v>1.5397245602965435</c:v>
                </c:pt>
                <c:pt idx="8">
                  <c:v>1.5397245602965435</c:v>
                </c:pt>
                <c:pt idx="9">
                  <c:v>2.0233913438774547</c:v>
                </c:pt>
                <c:pt idx="10">
                  <c:v>3.3273506860905306</c:v>
                </c:pt>
                <c:pt idx="11">
                  <c:v>3.2494643890944905</c:v>
                </c:pt>
                <c:pt idx="12">
                  <c:v>4.7716882767271365</c:v>
                </c:pt>
                <c:pt idx="13">
                  <c:v>5.3119216118545669</c:v>
                </c:pt>
                <c:pt idx="14">
                  <c:v>4.4678822769092053</c:v>
                </c:pt>
                <c:pt idx="15">
                  <c:v>3.7296097370080372</c:v>
                </c:pt>
                <c:pt idx="16">
                  <c:v>9.1074108023436473</c:v>
                </c:pt>
                <c:pt idx="17">
                  <c:v>2.9734437185478035</c:v>
                </c:pt>
                <c:pt idx="18">
                  <c:v>7.8661952913343729</c:v>
                </c:pt>
                <c:pt idx="19">
                  <c:v>4.431768495624401</c:v>
                </c:pt>
                <c:pt idx="20">
                  <c:v>8.2061151747990291</c:v>
                </c:pt>
                <c:pt idx="21">
                  <c:v>1.8719269364257176</c:v>
                </c:pt>
                <c:pt idx="22">
                  <c:v>5.2947585383531388</c:v>
                </c:pt>
                <c:pt idx="23">
                  <c:v>7.4287161843815381</c:v>
                </c:pt>
                <c:pt idx="24">
                  <c:v>9.0233688542805854</c:v>
                </c:pt>
                <c:pt idx="25">
                  <c:v>2.7728451998902162</c:v>
                </c:pt>
                <c:pt idx="26">
                  <c:v>3.2103621121933634</c:v>
                </c:pt>
                <c:pt idx="27">
                  <c:v>4.9127588937989062</c:v>
                </c:pt>
                <c:pt idx="28">
                  <c:v>8.3520356303813781</c:v>
                </c:pt>
                <c:pt idx="29">
                  <c:v>4.5219036868482112</c:v>
                </c:pt>
                <c:pt idx="30">
                  <c:v>3.385491413025437</c:v>
                </c:pt>
                <c:pt idx="31">
                  <c:v>6.6654561346279433</c:v>
                </c:pt>
                <c:pt idx="32">
                  <c:v>6.8395569463220243</c:v>
                </c:pt>
                <c:pt idx="33">
                  <c:v>1.4491747372556552</c:v>
                </c:pt>
                <c:pt idx="34">
                  <c:v>2.6101567223066877</c:v>
                </c:pt>
                <c:pt idx="35">
                  <c:v>3.861342570594779</c:v>
                </c:pt>
                <c:pt idx="36">
                  <c:v>5.4145444012580954</c:v>
                </c:pt>
                <c:pt idx="37">
                  <c:v>6.0344562582628036</c:v>
                </c:pt>
                <c:pt idx="38">
                  <c:v>1.0292799865327591</c:v>
                </c:pt>
                <c:pt idx="39">
                  <c:v>1.5171704426648875</c:v>
                </c:pt>
                <c:pt idx="40">
                  <c:v>2.732362227452692</c:v>
                </c:pt>
                <c:pt idx="41">
                  <c:v>3.3467567916184309</c:v>
                </c:pt>
                <c:pt idx="42">
                  <c:v>6.7447970697932016</c:v>
                </c:pt>
                <c:pt idx="43">
                  <c:v>2.3830259888594796</c:v>
                </c:pt>
                <c:pt idx="44">
                  <c:v>3.9733679043303689</c:v>
                </c:pt>
                <c:pt idx="45">
                  <c:v>4.5219036868482112</c:v>
                </c:pt>
                <c:pt idx="46">
                  <c:v>12.580357952726485</c:v>
                </c:pt>
                <c:pt idx="47">
                  <c:v>4.5757477083855669</c:v>
                </c:pt>
                <c:pt idx="48">
                  <c:v>4.9478425555336605</c:v>
                </c:pt>
                <c:pt idx="49">
                  <c:v>4.7007044799259941</c:v>
                </c:pt>
                <c:pt idx="50">
                  <c:v>5.9353911637010341</c:v>
                </c:pt>
                <c:pt idx="51">
                  <c:v>1.1952138999070512</c:v>
                </c:pt>
                <c:pt idx="52">
                  <c:v>1.0770714218227995</c:v>
                </c:pt>
                <c:pt idx="53">
                  <c:v>1.784402321966351</c:v>
                </c:pt>
                <c:pt idx="54">
                  <c:v>2.2573490554542888</c:v>
                </c:pt>
                <c:pt idx="55">
                  <c:v>2.65101977040892</c:v>
                </c:pt>
                <c:pt idx="56">
                  <c:v>3.5394148100672091</c:v>
                </c:pt>
                <c:pt idx="57">
                  <c:v>3.0924044195164342</c:v>
                </c:pt>
                <c:pt idx="58">
                  <c:v>2.4453811538878076</c:v>
                </c:pt>
                <c:pt idx="59">
                  <c:v>3.4818816028979711</c:v>
                </c:pt>
                <c:pt idx="60">
                  <c:v>3.6157816328014265</c:v>
                </c:pt>
                <c:pt idx="61">
                  <c:v>5.1048267645003103</c:v>
                </c:pt>
                <c:pt idx="62">
                  <c:v>5.3461967523190133</c:v>
                </c:pt>
                <c:pt idx="63">
                  <c:v>7.8064525433272989</c:v>
                </c:pt>
                <c:pt idx="64">
                  <c:v>8.8400127410604714</c:v>
                </c:pt>
                <c:pt idx="65">
                  <c:v>11.110996771896426</c:v>
                </c:pt>
                <c:pt idx="66">
                  <c:v>0.90833177009194077</c:v>
                </c:pt>
                <c:pt idx="67">
                  <c:v>4.3229429882434474</c:v>
                </c:pt>
                <c:pt idx="68">
                  <c:v>3.7673634703976067</c:v>
                </c:pt>
                <c:pt idx="69">
                  <c:v>1.1245506919933073</c:v>
                </c:pt>
                <c:pt idx="70">
                  <c:v>4.1766894858624388</c:v>
                </c:pt>
                <c:pt idx="71">
                  <c:v>4.2316911372411061</c:v>
                </c:pt>
                <c:pt idx="72">
                  <c:v>1.2419699555980184</c:v>
                </c:pt>
                <c:pt idx="73">
                  <c:v>2.6306044225032705</c:v>
                </c:pt>
                <c:pt idx="74">
                  <c:v>4.9478425555336605</c:v>
                </c:pt>
                <c:pt idx="75">
                  <c:v>4.2682541060704446</c:v>
                </c:pt>
                <c:pt idx="76">
                  <c:v>3.3079185338462569</c:v>
                </c:pt>
                <c:pt idx="77">
                  <c:v>2.1940104800524023</c:v>
                </c:pt>
                <c:pt idx="78">
                  <c:v>4.0105313586011864</c:v>
                </c:pt>
                <c:pt idx="79">
                  <c:v>4.4498353857397097</c:v>
                </c:pt>
                <c:pt idx="80">
                  <c:v>6.100196577398024</c:v>
                </c:pt>
                <c:pt idx="81">
                  <c:v>0.60770657117588411</c:v>
                </c:pt>
                <c:pt idx="82">
                  <c:v>1.5846709849226046</c:v>
                </c:pt>
                <c:pt idx="83">
                  <c:v>4.2316911372411061</c:v>
                </c:pt>
                <c:pt idx="84">
                  <c:v>5.7188410615766854</c:v>
                </c:pt>
                <c:pt idx="85">
                  <c:v>8.2938011456090166</c:v>
                </c:pt>
                <c:pt idx="86">
                  <c:v>0.60770657117588411</c:v>
                </c:pt>
                <c:pt idx="87">
                  <c:v>1.8719269364257176</c:v>
                </c:pt>
                <c:pt idx="88">
                  <c:v>2.4660965519828162</c:v>
                </c:pt>
                <c:pt idx="89">
                  <c:v>1.4491747372556552</c:v>
                </c:pt>
                <c:pt idx="90">
                  <c:v>3.4434013900676455</c:v>
                </c:pt>
                <c:pt idx="91">
                  <c:v>4.6115461121814585</c:v>
                </c:pt>
                <c:pt idx="92">
                  <c:v>1.6294067180867864</c:v>
                </c:pt>
                <c:pt idx="93">
                  <c:v>3.4048201998037113</c:v>
                </c:pt>
                <c:pt idx="94">
                  <c:v>5.3633089193730177</c:v>
                </c:pt>
                <c:pt idx="95">
                  <c:v>3.2103621121933634</c:v>
                </c:pt>
                <c:pt idx="96">
                  <c:v>6.3930966701671688</c:v>
                </c:pt>
                <c:pt idx="97">
                  <c:v>7.0276310766892038</c:v>
                </c:pt>
                <c:pt idx="98">
                  <c:v>11.211623078358292</c:v>
                </c:pt>
                <c:pt idx="99">
                  <c:v>3.7862053935693911</c:v>
                </c:pt>
                <c:pt idx="100">
                  <c:v>5.5673529586772972</c:v>
                </c:pt>
                <c:pt idx="101">
                  <c:v>7.0276310766892038</c:v>
                </c:pt>
                <c:pt idx="102">
                  <c:v>11.211623078358292</c:v>
                </c:pt>
                <c:pt idx="103">
                  <c:v>5.0526595520964479</c:v>
                </c:pt>
                <c:pt idx="104">
                  <c:v>11.211623078358292</c:v>
                </c:pt>
                <c:pt idx="105">
                  <c:v>11.584432464486165</c:v>
                </c:pt>
                <c:pt idx="106">
                  <c:v>14.012310185283903</c:v>
                </c:pt>
                <c:pt idx="107">
                  <c:v>3.4048201998037113</c:v>
                </c:pt>
                <c:pt idx="108">
                  <c:v>5.7355929852500527</c:v>
                </c:pt>
                <c:pt idx="109">
                  <c:v>8.0885698847608243</c:v>
                </c:pt>
                <c:pt idx="110">
                  <c:v>11.584432464486165</c:v>
                </c:pt>
                <c:pt idx="111">
                  <c:v>2.4038461538461537</c:v>
                </c:pt>
                <c:pt idx="112">
                  <c:v>3.5967264375551449</c:v>
                </c:pt>
                <c:pt idx="113">
                  <c:v>3.5967264375551449</c:v>
                </c:pt>
                <c:pt idx="114">
                  <c:v>7.0276310766892038</c:v>
                </c:pt>
                <c:pt idx="115">
                  <c:v>2.1940104800524023</c:v>
                </c:pt>
                <c:pt idx="116">
                  <c:v>3.5967264375551449</c:v>
                </c:pt>
                <c:pt idx="117">
                  <c:v>4.7007044799259941</c:v>
                </c:pt>
                <c:pt idx="118">
                  <c:v>6.8710357076658566</c:v>
                </c:pt>
                <c:pt idx="119">
                  <c:v>1.5397245602965435</c:v>
                </c:pt>
                <c:pt idx="120">
                  <c:v>3.0132109422707201</c:v>
                </c:pt>
                <c:pt idx="121">
                  <c:v>4.5219036868482112</c:v>
                </c:pt>
                <c:pt idx="122">
                  <c:v>6.7131017800975599</c:v>
                </c:pt>
                <c:pt idx="123">
                  <c:v>3.0132109422707201</c:v>
                </c:pt>
                <c:pt idx="124">
                  <c:v>5.0526595520964479</c:v>
                </c:pt>
                <c:pt idx="125">
                  <c:v>6.7131017800975599</c:v>
                </c:pt>
                <c:pt idx="126">
                  <c:v>9.6449665760638261</c:v>
                </c:pt>
                <c:pt idx="127">
                  <c:v>3.2103621121933634</c:v>
                </c:pt>
                <c:pt idx="128">
                  <c:v>4.1583133502245184</c:v>
                </c:pt>
                <c:pt idx="129">
                  <c:v>7.6411802321113607</c:v>
                </c:pt>
                <c:pt idx="130">
                  <c:v>11.085759173776864</c:v>
                </c:pt>
                <c:pt idx="131">
                  <c:v>3.0132109422707201</c:v>
                </c:pt>
                <c:pt idx="132">
                  <c:v>3.7862053935693911</c:v>
                </c:pt>
                <c:pt idx="133">
                  <c:v>7.3369192752942318</c:v>
                </c:pt>
                <c:pt idx="134">
                  <c:v>10.831577017586472</c:v>
                </c:pt>
                <c:pt idx="135">
                  <c:v>1.3116020233300847</c:v>
                </c:pt>
                <c:pt idx="136">
                  <c:v>2.8132049465737783</c:v>
                </c:pt>
                <c:pt idx="137">
                  <c:v>3.7862053935693911</c:v>
                </c:pt>
                <c:pt idx="138">
                  <c:v>6.3930966701671688</c:v>
                </c:pt>
                <c:pt idx="139">
                  <c:v>1.5397245602965435</c:v>
                </c:pt>
                <c:pt idx="140">
                  <c:v>3.2103621121933634</c:v>
                </c:pt>
                <c:pt idx="141">
                  <c:v>3.9733679043303689</c:v>
                </c:pt>
                <c:pt idx="142">
                  <c:v>7.48966552339893</c:v>
                </c:pt>
                <c:pt idx="143">
                  <c:v>2.6101567223066877</c:v>
                </c:pt>
                <c:pt idx="144">
                  <c:v>4.5219036868482112</c:v>
                </c:pt>
                <c:pt idx="145">
                  <c:v>4.5219036868482112</c:v>
                </c:pt>
                <c:pt idx="146">
                  <c:v>8.3810864967077201</c:v>
                </c:pt>
                <c:pt idx="147">
                  <c:v>2.1940104800524023</c:v>
                </c:pt>
                <c:pt idx="148">
                  <c:v>3.2103621121933634</c:v>
                </c:pt>
                <c:pt idx="149">
                  <c:v>3.9733679043303689</c:v>
                </c:pt>
                <c:pt idx="150">
                  <c:v>3.7862053935693911</c:v>
                </c:pt>
                <c:pt idx="151">
                  <c:v>2.8132049465737783</c:v>
                </c:pt>
                <c:pt idx="152">
                  <c:v>3.4048201998037113</c:v>
                </c:pt>
                <c:pt idx="153">
                  <c:v>4.5219036868482112</c:v>
                </c:pt>
                <c:pt idx="154">
                  <c:v>6.7131017800975599</c:v>
                </c:pt>
                <c:pt idx="155">
                  <c:v>6.5537992803443554</c:v>
                </c:pt>
                <c:pt idx="156">
                  <c:v>8.3810864967077201</c:v>
                </c:pt>
                <c:pt idx="157">
                  <c:v>13.903297076105851</c:v>
                </c:pt>
                <c:pt idx="158">
                  <c:v>10.574048664887476</c:v>
                </c:pt>
                <c:pt idx="159">
                  <c:v>5.7355929852500527</c:v>
                </c:pt>
                <c:pt idx="160">
                  <c:v>11.460949506038077</c:v>
                </c:pt>
                <c:pt idx="161">
                  <c:v>9.9149687931281836</c:v>
                </c:pt>
                <c:pt idx="162">
                  <c:v>4.7007044799259941</c:v>
                </c:pt>
                <c:pt idx="163">
                  <c:v>8.8116486651561647</c:v>
                </c:pt>
                <c:pt idx="164">
                  <c:v>12.893705981167562</c:v>
                </c:pt>
                <c:pt idx="165">
                  <c:v>21.464281543423255</c:v>
                </c:pt>
                <c:pt idx="166">
                  <c:v>3.4048201998037113</c:v>
                </c:pt>
                <c:pt idx="167">
                  <c:v>7.9406098787528387</c:v>
                </c:pt>
                <c:pt idx="168">
                  <c:v>9.2327925788129726</c:v>
                </c:pt>
                <c:pt idx="169">
                  <c:v>3.4048201998037113</c:v>
                </c:pt>
                <c:pt idx="170">
                  <c:v>9.7804361185521369</c:v>
                </c:pt>
                <c:pt idx="171">
                  <c:v>21.464281543423255</c:v>
                </c:pt>
                <c:pt idx="172">
                  <c:v>10.831577017586472</c:v>
                </c:pt>
                <c:pt idx="173">
                  <c:v>5.9022469857511899</c:v>
                </c:pt>
                <c:pt idx="174">
                  <c:v>9.7804361185521369</c:v>
                </c:pt>
                <c:pt idx="175">
                  <c:v>13.461031754354963</c:v>
                </c:pt>
                <c:pt idx="176">
                  <c:v>21.68161892230761</c:v>
                </c:pt>
                <c:pt idx="177">
                  <c:v>8.525683245392857</c:v>
                </c:pt>
                <c:pt idx="178">
                  <c:v>9.3711596590385451</c:v>
                </c:pt>
                <c:pt idx="179">
                  <c:v>7.7914873552319701</c:v>
                </c:pt>
                <c:pt idx="180">
                  <c:v>3.7862053935693911</c:v>
                </c:pt>
                <c:pt idx="181">
                  <c:v>9.7804361185521369</c:v>
                </c:pt>
                <c:pt idx="182">
                  <c:v>10.444000946363555</c:v>
                </c:pt>
                <c:pt idx="183">
                  <c:v>10.313081612261403</c:v>
                </c:pt>
                <c:pt idx="184">
                  <c:v>14.442342945801553</c:v>
                </c:pt>
                <c:pt idx="185">
                  <c:v>7.182916495759188</c:v>
                </c:pt>
                <c:pt idx="186">
                  <c:v>16.744454517392267</c:v>
                </c:pt>
                <c:pt idx="187">
                  <c:v>20.101316496682365</c:v>
                </c:pt>
                <c:pt idx="188">
                  <c:v>25.303562411348839</c:v>
                </c:pt>
                <c:pt idx="189">
                  <c:v>7.9406098787528387</c:v>
                </c:pt>
                <c:pt idx="190">
                  <c:v>16.554919251761188</c:v>
                </c:pt>
                <c:pt idx="191">
                  <c:v>16.363473151807252</c:v>
                </c:pt>
                <c:pt idx="192">
                  <c:v>16.932112689194781</c:v>
                </c:pt>
                <c:pt idx="193">
                  <c:v>28.836019263797319</c:v>
                </c:pt>
                <c:pt idx="194">
                  <c:v>15.974708506718638</c:v>
                </c:pt>
                <c:pt idx="195">
                  <c:v>19.460770252792766</c:v>
                </c:pt>
                <c:pt idx="196">
                  <c:v>20.719940651905169</c:v>
                </c:pt>
                <c:pt idx="197">
                  <c:v>19.048695651090451</c:v>
                </c:pt>
                <c:pt idx="198">
                  <c:v>5.7355929852500527</c:v>
                </c:pt>
                <c:pt idx="199">
                  <c:v>18.108318522078214</c:v>
                </c:pt>
                <c:pt idx="200">
                  <c:v>20.946530753057235</c:v>
                </c:pt>
                <c:pt idx="201">
                  <c:v>13.683420283551536</c:v>
                </c:pt>
                <c:pt idx="202">
                  <c:v>9.9149687931281836</c:v>
                </c:pt>
                <c:pt idx="203">
                  <c:v>16.744454517392267</c:v>
                </c:pt>
                <c:pt idx="204">
                  <c:v>19.783865965586227</c:v>
                </c:pt>
                <c:pt idx="205">
                  <c:v>26.855349498749835</c:v>
                </c:pt>
                <c:pt idx="206">
                  <c:v>22.661644574405702</c:v>
                </c:pt>
                <c:pt idx="207">
                  <c:v>8.525683245392857</c:v>
                </c:pt>
                <c:pt idx="208">
                  <c:v>20.257977143695502</c:v>
                </c:pt>
                <c:pt idx="209">
                  <c:v>14.335725280347503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258368"/>
        <c:axId val="294259520"/>
      </c:scatterChart>
      <c:valAx>
        <c:axId val="29425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 measured</a:t>
                </a:r>
              </a:p>
            </c:rich>
          </c:tx>
          <c:layout>
            <c:manualLayout>
              <c:xMode val="edge"/>
              <c:yMode val="edge"/>
              <c:x val="0.48020833333333335"/>
              <c:y val="0.942664418212478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259520"/>
        <c:crosses val="autoZero"/>
        <c:crossBetween val="midCat"/>
      </c:valAx>
      <c:valAx>
        <c:axId val="294259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 modelled</a:t>
                </a:r>
              </a:p>
            </c:rich>
          </c:tx>
          <c:layout>
            <c:manualLayout>
              <c:xMode val="edge"/>
              <c:yMode val="edge"/>
              <c:x val="1.1458333333333333E-2"/>
              <c:y val="0.397976391231028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25836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E-2"/>
          <c:y val="3.5413153456998317E-2"/>
          <c:w val="0.7583333333333333"/>
          <c:h val="0.8549747048903878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10963364876812398"/>
                  <c:y val="8.379256203850526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 val="9.4712301455021852E-2"/>
                  <c:y val="0.1607113405178694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'Burger_Tab. 12'!$A$8:$A$31</c:f>
              <c:numCache>
                <c:formatCode>General</c:formatCode>
                <c:ptCount val="2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</c:numCache>
            </c:numRef>
          </c:xVal>
          <c:yVal>
            <c:numRef>
              <c:f>'Burger_Tab. 12'!$M$8:$M$31</c:f>
              <c:numCache>
                <c:formatCode>General</c:formatCode>
                <c:ptCount val="24"/>
                <c:pt idx="0">
                  <c:v>5.0462650440403198</c:v>
                </c:pt>
                <c:pt idx="1">
                  <c:v>7.136496464611084</c:v>
                </c:pt>
                <c:pt idx="2">
                  <c:v>8.7403874447366334</c:v>
                </c:pt>
                <c:pt idx="3">
                  <c:v>10.249012754438883</c:v>
                </c:pt>
                <c:pt idx="4">
                  <c:v>11.562445770562217</c:v>
                </c:pt>
                <c:pt idx="5">
                  <c:v>12.741194683142286</c:v>
                </c:pt>
                <c:pt idx="6">
                  <c:v>13.81976597885342</c:v>
                </c:pt>
                <c:pt idx="7">
                  <c:v>14.820047957642227</c:v>
                </c:pt>
                <c:pt idx="8">
                  <c:v>15.756957549709803</c:v>
                </c:pt>
                <c:pt idx="9">
                  <c:v>16.73656774376801</c:v>
                </c:pt>
                <c:pt idx="10">
                  <c:v>17.751810818109593</c:v>
                </c:pt>
                <c:pt idx="11">
                  <c:v>18.712051592547777</c:v>
                </c:pt>
                <c:pt idx="12">
                  <c:v>19.625365277680483</c:v>
                </c:pt>
                <c:pt idx="13">
                  <c:v>20.575523046193545</c:v>
                </c:pt>
                <c:pt idx="14">
                  <c:v>21.483699284957805</c:v>
                </c:pt>
                <c:pt idx="15">
                  <c:v>22.42609239636699</c:v>
                </c:pt>
                <c:pt idx="16">
                  <c:v>23.330450175131258</c:v>
                </c:pt>
                <c:pt idx="17">
                  <c:v>24.266711549775604</c:v>
                </c:pt>
                <c:pt idx="18">
                  <c:v>25.792783140330599</c:v>
                </c:pt>
                <c:pt idx="19">
                  <c:v>26.221162334209897</c:v>
                </c:pt>
                <c:pt idx="20">
                  <c:v>27.29185104880338</c:v>
                </c:pt>
                <c:pt idx="21">
                  <c:v>28.434259457682881</c:v>
                </c:pt>
                <c:pt idx="22">
                  <c:v>29.693743191606885</c:v>
                </c:pt>
                <c:pt idx="23">
                  <c:v>31.107266900175009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9.7310778799987729E-2"/>
                  <c:y val="2.1971424524138916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 val="-0.1236904594464231"/>
                  <c:y val="7.729462491452870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'Burger_Tab. 14'!$A$10:$A$23</c:f>
              <c:numCache>
                <c:formatCode>General</c:formatCode>
                <c:ptCount val="14"/>
                <c:pt idx="0">
                  <c:v>14</c:v>
                </c:pt>
                <c:pt idx="1">
                  <c:v>16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24</c:v>
                </c:pt>
                <c:pt idx="6">
                  <c:v>26</c:v>
                </c:pt>
                <c:pt idx="7">
                  <c:v>28</c:v>
                </c:pt>
                <c:pt idx="8">
                  <c:v>30</c:v>
                </c:pt>
                <c:pt idx="9">
                  <c:v>32</c:v>
                </c:pt>
                <c:pt idx="10">
                  <c:v>34</c:v>
                </c:pt>
                <c:pt idx="11">
                  <c:v>36</c:v>
                </c:pt>
                <c:pt idx="12">
                  <c:v>38</c:v>
                </c:pt>
                <c:pt idx="13">
                  <c:v>40</c:v>
                </c:pt>
              </c:numCache>
            </c:numRef>
          </c:xVal>
          <c:yVal>
            <c:numRef>
              <c:f>'Burger_Tab. 14'!$P$10:$P$23</c:f>
              <c:numCache>
                <c:formatCode>General</c:formatCode>
                <c:ptCount val="14"/>
                <c:pt idx="0">
                  <c:v>12.865501965161375</c:v>
                </c:pt>
                <c:pt idx="1">
                  <c:v>13.587484461319491</c:v>
                </c:pt>
                <c:pt idx="2">
                  <c:v>14.60368527951557</c:v>
                </c:pt>
                <c:pt idx="3">
                  <c:v>15.655625581928012</c:v>
                </c:pt>
                <c:pt idx="4">
                  <c:v>16.831393249032406</c:v>
                </c:pt>
                <c:pt idx="5">
                  <c:v>18.19456736586892</c:v>
                </c:pt>
                <c:pt idx="6">
                  <c:v>19.706294962377491</c:v>
                </c:pt>
                <c:pt idx="7">
                  <c:v>21.260292528114064</c:v>
                </c:pt>
                <c:pt idx="8">
                  <c:v>22.847936741452536</c:v>
                </c:pt>
                <c:pt idx="9">
                  <c:v>24.332208866065791</c:v>
                </c:pt>
                <c:pt idx="10">
                  <c:v>25.606998370340261</c:v>
                </c:pt>
                <c:pt idx="11">
                  <c:v>26.821266613927222</c:v>
                </c:pt>
                <c:pt idx="12">
                  <c:v>27.811742545669649</c:v>
                </c:pt>
                <c:pt idx="13">
                  <c:v>28.545985858444336</c:v>
                </c:pt>
              </c:numCache>
            </c:numRef>
          </c:yVal>
          <c:smooth val="0"/>
        </c:ser>
        <c:ser>
          <c:idx val="3"/>
          <c:order val="2"/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9933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 val="-0.22577786628592939"/>
                  <c:y val="0.1357869504138082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Erteld!$F$4:$F$13</c:f>
              <c:numCache>
                <c:formatCode>General</c:formatCode>
                <c:ptCount val="10"/>
                <c:pt idx="0">
                  <c:v>10.4</c:v>
                </c:pt>
                <c:pt idx="1">
                  <c:v>12.1</c:v>
                </c:pt>
                <c:pt idx="2">
                  <c:v>14.5</c:v>
                </c:pt>
                <c:pt idx="3">
                  <c:v>18.7</c:v>
                </c:pt>
                <c:pt idx="4">
                  <c:v>22.6</c:v>
                </c:pt>
                <c:pt idx="5">
                  <c:v>26.1</c:v>
                </c:pt>
                <c:pt idx="6">
                  <c:v>18.8</c:v>
                </c:pt>
                <c:pt idx="7">
                  <c:v>26.1</c:v>
                </c:pt>
                <c:pt idx="8">
                  <c:v>30.5</c:v>
                </c:pt>
                <c:pt idx="9">
                  <c:v>32.1</c:v>
                </c:pt>
              </c:numCache>
            </c:numRef>
          </c:xVal>
          <c:yVal>
            <c:numRef>
              <c:f>Erteld!$R$4:$R$13</c:f>
              <c:numCache>
                <c:formatCode>General</c:formatCode>
                <c:ptCount val="10"/>
                <c:pt idx="0">
                  <c:v>12.55</c:v>
                </c:pt>
                <c:pt idx="1">
                  <c:v>13.45</c:v>
                </c:pt>
                <c:pt idx="2">
                  <c:v>16.399999999999999</c:v>
                </c:pt>
                <c:pt idx="3">
                  <c:v>16.399999999999999</c:v>
                </c:pt>
                <c:pt idx="4">
                  <c:v>22.55</c:v>
                </c:pt>
                <c:pt idx="5">
                  <c:v>20.100000000000001</c:v>
                </c:pt>
                <c:pt idx="6">
                  <c:v>17.75</c:v>
                </c:pt>
                <c:pt idx="7">
                  <c:v>20.25</c:v>
                </c:pt>
                <c:pt idx="8">
                  <c:v>20.55</c:v>
                </c:pt>
                <c:pt idx="9">
                  <c:v>24.05</c:v>
                </c:pt>
              </c:numCache>
            </c:numRef>
          </c:yVal>
          <c:smooth val="0"/>
        </c:ser>
        <c:ser>
          <c:idx val="2"/>
          <c:order val="3"/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2.4210825749647058E-2"/>
                  <c:y val="-1.401061834786093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 val="0.11012891372911837"/>
                  <c:y val="-3.892250793205753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'Burger_Tab. 15'!$A$10:$A$22</c:f>
              <c:numCache>
                <c:formatCode>General</c:formatCode>
                <c:ptCount val="13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</c:numCache>
            </c:numRef>
          </c:xVal>
          <c:yVal>
            <c:numRef>
              <c:f>'Burger_Tab. 15'!$P$10:$P$22</c:f>
              <c:numCache>
                <c:formatCode>General</c:formatCode>
                <c:ptCount val="13"/>
                <c:pt idx="0">
                  <c:v>12.865501965161375</c:v>
                </c:pt>
                <c:pt idx="1">
                  <c:v>14.38406847937898</c:v>
                </c:pt>
                <c:pt idx="2">
                  <c:v>15.85764200898717</c:v>
                </c:pt>
                <c:pt idx="3">
                  <c:v>17.297725082008998</c:v>
                </c:pt>
                <c:pt idx="4">
                  <c:v>18.712051592547777</c:v>
                </c:pt>
                <c:pt idx="5">
                  <c:v>20.106057680545288</c:v>
                </c:pt>
                <c:pt idx="6">
                  <c:v>21.63135531329862</c:v>
                </c:pt>
                <c:pt idx="7">
                  <c:v>23.262132458406391</c:v>
                </c:pt>
                <c:pt idx="8">
                  <c:v>25.104851615652017</c:v>
                </c:pt>
                <c:pt idx="9">
                  <c:v>26.939683377854365</c:v>
                </c:pt>
                <c:pt idx="10">
                  <c:v>28.878571671769567</c:v>
                </c:pt>
                <c:pt idx="11">
                  <c:v>30.798757455905527</c:v>
                </c:pt>
                <c:pt idx="12">
                  <c:v>32.849208729633816</c:v>
                </c:pt>
              </c:numCache>
            </c:numRef>
          </c:yVal>
          <c:smooth val="0"/>
        </c:ser>
        <c:ser>
          <c:idx val="4"/>
          <c:order val="4"/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'4C'!$E$4:$E$53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'4C'!$F$4:$F$53</c:f>
              <c:numCache>
                <c:formatCode>General</c:formatCode>
                <c:ptCount val="50"/>
                <c:pt idx="0">
                  <c:v>1.5</c:v>
                </c:pt>
                <c:pt idx="1">
                  <c:v>2.6116516898883724</c:v>
                </c:pt>
                <c:pt idx="2">
                  <c:v>3.6123370279210385</c:v>
                </c:pt>
                <c:pt idx="3">
                  <c:v>4.547149699531194</c:v>
                </c:pt>
                <c:pt idx="4">
                  <c:v>5.4358474775827172</c:v>
                </c:pt>
                <c:pt idx="5">
                  <c:v>6.2894440689442135</c:v>
                </c:pt>
                <c:pt idx="6">
                  <c:v>7.1149145907050499</c:v>
                </c:pt>
                <c:pt idx="7">
                  <c:v>7.9170474646373652</c:v>
                </c:pt>
                <c:pt idx="8">
                  <c:v>8.6993192021929353</c:v>
                </c:pt>
                <c:pt idx="9">
                  <c:v>9.4643601672029014</c:v>
                </c:pt>
                <c:pt idx="10">
                  <c:v>10.214224691283453</c:v>
                </c:pt>
                <c:pt idx="11">
                  <c:v>10.950558154077704</c:v>
                </c:pt>
                <c:pt idx="12">
                  <c:v>11.674705683059207</c:v>
                </c:pt>
                <c:pt idx="13">
                  <c:v>12.387785809484189</c:v>
                </c:pt>
                <c:pt idx="14">
                  <c:v>13.090742080935481</c:v>
                </c:pt>
                <c:pt idx="15">
                  <c:v>13.784380259964419</c:v>
                </c:pt>
                <c:pt idx="16">
                  <c:v>14.469395784625295</c:v>
                </c:pt>
                <c:pt idx="17">
                  <c:v>15.146394463523693</c:v>
                </c:pt>
                <c:pt idx="18">
                  <c:v>15.815908355608096</c:v>
                </c:pt>
                <c:pt idx="19">
                  <c:v>16.478408149591765</c:v>
                </c:pt>
                <c:pt idx="20">
                  <c:v>17.134312950999675</c:v>
                </c:pt>
                <c:pt idx="21">
                  <c:v>17.783998117259983</c:v>
                </c:pt>
                <c:pt idx="22">
                  <c:v>18.427801601125559</c:v>
                </c:pt>
                <c:pt idx="23">
                  <c:v>19.066029138878626</c:v>
                </c:pt>
                <c:pt idx="24">
                  <c:v>19.698958533028257</c:v>
                </c:pt>
                <c:pt idx="25">
                  <c:v>20.326843217407308</c:v>
                </c:pt>
                <c:pt idx="26">
                  <c:v>20.949915247857358</c:v>
                </c:pt>
                <c:pt idx="27">
                  <c:v>21.568387828876386</c:v>
                </c:pt>
                <c:pt idx="28">
                  <c:v>22.182457462213041</c:v>
                </c:pt>
                <c:pt idx="29">
                  <c:v>22.792305785045318</c:v>
                </c:pt>
                <c:pt idx="30">
                  <c:v>23.398101151430904</c:v>
                </c:pt>
                <c:pt idx="31">
                  <c:v>24.000000000000011</c:v>
                </c:pt>
                <c:pt idx="32">
                  <c:v>24.598148042552367</c:v>
                </c:pt>
                <c:pt idx="33">
                  <c:v>25.192681301720231</c:v>
                </c:pt>
                <c:pt idx="34">
                  <c:v>25.783727020733679</c:v>
                </c:pt>
                <c:pt idx="35">
                  <c:v>26.371404464251697</c:v>
                </c:pt>
                <c:pt idx="36">
                  <c:v>26.955825625962348</c:v>
                </c:pt>
                <c:pt idx="37">
                  <c:v>27.537095856029012</c:v>
                </c:pt>
                <c:pt idx="38">
                  <c:v>28.11531441932997</c:v>
                </c:pt>
                <c:pt idx="39">
                  <c:v>28.690574993701109</c:v>
                </c:pt>
                <c:pt idx="40">
                  <c:v>29.262966115966989</c:v>
                </c:pt>
                <c:pt idx="41">
                  <c:v>29.832571582369688</c:v>
                </c:pt>
                <c:pt idx="42">
                  <c:v>30.399470809031513</c:v>
                </c:pt>
                <c:pt idx="43">
                  <c:v>30.963739157275768</c:v>
                </c:pt>
                <c:pt idx="44">
                  <c:v>31.525448227951564</c:v>
                </c:pt>
                <c:pt idx="45">
                  <c:v>32.084666128338149</c:v>
                </c:pt>
                <c:pt idx="46">
                  <c:v>32.641457714723238</c:v>
                </c:pt>
                <c:pt idx="47">
                  <c:v>33.195884813342218</c:v>
                </c:pt>
                <c:pt idx="48">
                  <c:v>33.748006422018406</c:v>
                </c:pt>
                <c:pt idx="49">
                  <c:v>34.297878894549484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263552"/>
        <c:axId val="294264128"/>
      </c:scatterChart>
      <c:valAx>
        <c:axId val="29426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DBH [cm]</a:t>
                </a:r>
              </a:p>
            </c:rich>
          </c:tx>
          <c:layout>
            <c:manualLayout>
              <c:xMode val="edge"/>
              <c:yMode val="edge"/>
              <c:x val="0.40937499999999999"/>
              <c:y val="0.942664418212478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264128"/>
        <c:crosses val="autoZero"/>
        <c:crossBetween val="midCat"/>
      </c:valAx>
      <c:valAx>
        <c:axId val="294264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Kronenradius [dm]</a:t>
                </a:r>
              </a:p>
            </c:rich>
          </c:tx>
          <c:layout>
            <c:manualLayout>
              <c:xMode val="edge"/>
              <c:yMode val="edge"/>
              <c:x val="1.1458333333333333E-2"/>
              <c:y val="0.360876897133220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26355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166666666666667"/>
          <c:y val="0.24957841483979765"/>
          <c:w val="0.15416666666666667"/>
          <c:h val="0.426644182124789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24999999999999E-2"/>
          <c:y val="3.5413153456998317E-2"/>
          <c:w val="0.79062500000000002"/>
          <c:h val="0.92917369308600339"/>
        </c:manualLayout>
      </c:layout>
      <c:scatterChart>
        <c:scatterStyle val="lineMarker"/>
        <c:varyColors val="0"/>
        <c:ser>
          <c:idx val="0"/>
          <c:order val="0"/>
          <c:tx>
            <c:strRef>
              <c:f>'Burger_Tab. 12'!$Q$7</c:f>
              <c:strCache>
                <c:ptCount val="1"/>
                <c:pt idx="0">
                  <c:v>potenzfunktion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 val="-2.8762552496894855E-3"/>
                  <c:y val="9.18568308789596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'Burger_Tab. 12'!$A$8:$A$31</c:f>
              <c:numCache>
                <c:formatCode>General</c:formatCode>
                <c:ptCount val="2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</c:numCache>
            </c:numRef>
          </c:xVal>
          <c:yVal>
            <c:numRef>
              <c:f>'Burger_Tab. 12'!$R$8:$R$31</c:f>
              <c:numCache>
                <c:formatCode>General</c:formatCode>
                <c:ptCount val="24"/>
                <c:pt idx="0">
                  <c:v>5.2323396262568489E-2</c:v>
                </c:pt>
                <c:pt idx="1">
                  <c:v>-1.8786114901633975E-2</c:v>
                </c:pt>
                <c:pt idx="2">
                  <c:v>-2.5119773148965605E-2</c:v>
                </c:pt>
                <c:pt idx="3">
                  <c:v>-3.1918493807674128E-2</c:v>
                </c:pt>
                <c:pt idx="4">
                  <c:v>-2.8234012396616184E-2</c:v>
                </c:pt>
                <c:pt idx="5">
                  <c:v>-2.0346822479397546E-2</c:v>
                </c:pt>
                <c:pt idx="6">
                  <c:v>-1.0663753849093405E-2</c:v>
                </c:pt>
                <c:pt idx="7">
                  <c:v>-2.5037205917317358E-4</c:v>
                </c:pt>
                <c:pt idx="8">
                  <c:v>1.0378870002561557E-2</c:v>
                </c:pt>
                <c:pt idx="9">
                  <c:v>1.5145538699849741E-2</c:v>
                </c:pt>
                <c:pt idx="10">
                  <c:v>1.5620375986174868E-2</c:v>
                </c:pt>
                <c:pt idx="11">
                  <c:v>1.7577203362167278E-2</c:v>
                </c:pt>
                <c:pt idx="12">
                  <c:v>2.0533857108203452E-2</c:v>
                </c:pt>
                <c:pt idx="13">
                  <c:v>2.031716527806041E-2</c:v>
                </c:pt>
                <c:pt idx="14">
                  <c:v>2.117037638666534E-2</c:v>
                </c:pt>
                <c:pt idx="15">
                  <c:v>1.956581900724709E-2</c:v>
                </c:pt>
                <c:pt idx="16">
                  <c:v>1.9014595218307291E-2</c:v>
                </c:pt>
                <c:pt idx="17">
                  <c:v>1.6509399816456528E-2</c:v>
                </c:pt>
                <c:pt idx="18">
                  <c:v>-9.5761802763365683E-3</c:v>
                </c:pt>
                <c:pt idx="19">
                  <c:v>7.2161572867337461E-3</c:v>
                </c:pt>
                <c:pt idx="20">
                  <c:v>-1.0945543034062396E-3</c:v>
                </c:pt>
                <c:pt idx="21">
                  <c:v>-1.1707662823556042E-2</c:v>
                </c:pt>
                <c:pt idx="22">
                  <c:v>-2.574693406414566E-2</c:v>
                </c:pt>
                <c:pt idx="23">
                  <c:v>-4.3754424466964814E-2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'Burger_Tab. 12'!$O$7</c:f>
              <c:strCache>
                <c:ptCount val="1"/>
                <c:pt idx="0">
                  <c:v>lineares modell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'Burger_Tab. 12'!$A$8:$A$31</c:f>
              <c:numCache>
                <c:formatCode>General</c:formatCode>
                <c:ptCount val="2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</c:numCache>
            </c:numRef>
          </c:xVal>
          <c:yVal>
            <c:numRef>
              <c:f>'Burger_Tab. 12'!$P$8:$P$31</c:f>
              <c:numCache>
                <c:formatCode>General</c:formatCode>
                <c:ptCount val="24"/>
                <c:pt idx="0">
                  <c:v>0.36716956794568173</c:v>
                </c:pt>
                <c:pt idx="1">
                  <c:v>0.11282896858168583</c:v>
                </c:pt>
                <c:pt idx="2">
                  <c:v>2.7906377927244992E-2</c:v>
                </c:pt>
                <c:pt idx="3">
                  <c:v>-2.1671624356471242E-2</c:v>
                </c:pt>
                <c:pt idx="4">
                  <c:v>-4.2633347679541002E-2</c:v>
                </c:pt>
                <c:pt idx="5">
                  <c:v>-4.9374858385503942E-2</c:v>
                </c:pt>
                <c:pt idx="6">
                  <c:v>-4.8124257666235688E-2</c:v>
                </c:pt>
                <c:pt idx="7">
                  <c:v>-4.2020643888746385E-2</c:v>
                </c:pt>
                <c:pt idx="8">
                  <c:v>-3.2814554972214492E-2</c:v>
                </c:pt>
                <c:pt idx="9">
                  <c:v>-2.7130278484791878E-2</c:v>
                </c:pt>
                <c:pt idx="10">
                  <c:v>-2.4037593825317425E-2</c:v>
                </c:pt>
                <c:pt idx="11">
                  <c:v>-1.8402663697492067E-2</c:v>
                </c:pt>
                <c:pt idx="12">
                  <c:v>-1.0958536294102676E-2</c:v>
                </c:pt>
                <c:pt idx="13">
                  <c:v>-5.9596563313723859E-3</c:v>
                </c:pt>
                <c:pt idx="14">
                  <c:v>5.4928692147807826E-4</c:v>
                </c:pt>
                <c:pt idx="15">
                  <c:v>4.9945216337000187E-3</c:v>
                </c:pt>
                <c:pt idx="16">
                  <c:v>1.0726317880290728E-2</c:v>
                </c:pt>
                <c:pt idx="17">
                  <c:v>1.4694551814034076E-2</c:v>
                </c:pt>
                <c:pt idx="18">
                  <c:v>-4.9193272257695483E-3</c:v>
                </c:pt>
                <c:pt idx="19">
                  <c:v>1.8585662205915659E-2</c:v>
                </c:pt>
                <c:pt idx="20">
                  <c:v>1.6827328801384347E-2</c:v>
                </c:pt>
                <c:pt idx="21">
                  <c:v>1.2641107916035428E-2</c:v>
                </c:pt>
                <c:pt idx="22">
                  <c:v>4.8009039302733579E-3</c:v>
                </c:pt>
                <c:pt idx="23">
                  <c:v>-7.3412717648211803E-3</c:v>
                </c:pt>
              </c:numCache>
            </c:numRef>
          </c:yVal>
          <c:smooth val="0"/>
        </c:ser>
        <c:ser>
          <c:idx val="6"/>
          <c:order val="2"/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'Burger_Tab. 12'!$A$8:$A$31</c:f>
              <c:numCache>
                <c:formatCode>General</c:formatCode>
                <c:ptCount val="2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</c:numCache>
            </c:numRef>
          </c:xVal>
          <c:yVal>
            <c:numRef>
              <c:f>'Burger_Tab. 12'!$T$8:$T$31</c:f>
              <c:numCache>
                <c:formatCode>General</c:formatCode>
                <c:ptCount val="24"/>
                <c:pt idx="0">
                  <c:v>0.13656635858450891</c:v>
                </c:pt>
                <c:pt idx="1">
                  <c:v>1.0814410591462082E-2</c:v>
                </c:pt>
                <c:pt idx="2">
                  <c:v>-1.7890979992096847E-2</c:v>
                </c:pt>
                <c:pt idx="3">
                  <c:v>-3.607119040154308E-2</c:v>
                </c:pt>
                <c:pt idx="4">
                  <c:v>-3.8455513656993123E-2</c:v>
                </c:pt>
                <c:pt idx="5">
                  <c:v>-3.3767472364970012E-2</c:v>
                </c:pt>
                <c:pt idx="6">
                  <c:v>-2.5553536695002838E-2</c:v>
                </c:pt>
                <c:pt idx="7">
                  <c:v>-1.549015194729465E-2</c:v>
                </c:pt>
                <c:pt idx="8">
                  <c:v>-4.4508300712664947E-3</c:v>
                </c:pt>
                <c:pt idx="9">
                  <c:v>1.3396856793374584E-3</c:v>
                </c:pt>
                <c:pt idx="10">
                  <c:v>3.2577434290802375E-3</c:v>
                </c:pt>
                <c:pt idx="11">
                  <c:v>6.8890160513932824E-3</c:v>
                </c:pt>
                <c:pt idx="12">
                  <c:v>1.1688109561991428E-2</c:v>
                </c:pt>
                <c:pt idx="13">
                  <c:v>1.346300284954715E-2</c:v>
                </c:pt>
                <c:pt idx="14">
                  <c:v>1.6380091528188034E-2</c:v>
                </c:pt>
                <c:pt idx="15">
                  <c:v>1.6899629278372411E-2</c:v>
                </c:pt>
                <c:pt idx="16">
                  <c:v>1.8494965870590251E-2</c:v>
                </c:pt>
                <c:pt idx="17">
                  <c:v>1.8145372163096234E-2</c:v>
                </c:pt>
                <c:pt idx="18">
                  <c:v>-5.8800403647471374E-3</c:v>
                </c:pt>
                <c:pt idx="19">
                  <c:v>1.3107551376163993E-2</c:v>
                </c:pt>
                <c:pt idx="20">
                  <c:v>6.8518466148506435E-3</c:v>
                </c:pt>
                <c:pt idx="21">
                  <c:v>-1.7802678495425438E-3</c:v>
                </c:pt>
                <c:pt idx="22">
                  <c:v>-1.3943465199341946E-2</c:v>
                </c:pt>
                <c:pt idx="23">
                  <c:v>-3.0210368879140533E-2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'Burger_Tab. 14'!$T$8</c:f>
              <c:strCache>
                <c:ptCount val="1"/>
                <c:pt idx="0">
                  <c:v>potenzfunktion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'Burger_Tab. 14'!$A$10:$A$23</c:f>
              <c:numCache>
                <c:formatCode>General</c:formatCode>
                <c:ptCount val="14"/>
                <c:pt idx="0">
                  <c:v>14</c:v>
                </c:pt>
                <c:pt idx="1">
                  <c:v>16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24</c:v>
                </c:pt>
                <c:pt idx="6">
                  <c:v>26</c:v>
                </c:pt>
                <c:pt idx="7">
                  <c:v>28</c:v>
                </c:pt>
                <c:pt idx="8">
                  <c:v>30</c:v>
                </c:pt>
                <c:pt idx="9">
                  <c:v>32</c:v>
                </c:pt>
                <c:pt idx="10">
                  <c:v>34</c:v>
                </c:pt>
                <c:pt idx="11">
                  <c:v>36</c:v>
                </c:pt>
                <c:pt idx="12">
                  <c:v>38</c:v>
                </c:pt>
                <c:pt idx="13">
                  <c:v>40</c:v>
                </c:pt>
              </c:numCache>
            </c:numRef>
          </c:xVal>
          <c:yVal>
            <c:numRef>
              <c:f>'Burger_Tab. 14'!$U$10:$U$23</c:f>
              <c:numCache>
                <c:formatCode>General</c:formatCode>
                <c:ptCount val="14"/>
                <c:pt idx="0">
                  <c:v>-6.2072972182849497E-2</c:v>
                </c:pt>
                <c:pt idx="1">
                  <c:v>-8.5361465639477684E-3</c:v>
                </c:pt>
                <c:pt idx="2">
                  <c:v>1.6561952036250761E-2</c:v>
                </c:pt>
                <c:pt idx="3">
                  <c:v>3.4326177665669567E-2</c:v>
                </c:pt>
                <c:pt idx="4">
                  <c:v>4.0735296246303399E-2</c:v>
                </c:pt>
                <c:pt idx="5">
                  <c:v>3.4377499192315863E-2</c:v>
                </c:pt>
                <c:pt idx="6">
                  <c:v>2.0189036135729688E-2</c:v>
                </c:pt>
                <c:pt idx="7">
                  <c:v>5.2078811871752251E-3</c:v>
                </c:pt>
                <c:pt idx="8">
                  <c:v>-9.8846190295960226E-3</c:v>
                </c:pt>
                <c:pt idx="9">
                  <c:v>-1.9463545585891539E-2</c:v>
                </c:pt>
                <c:pt idx="10">
                  <c:v>-2.051576729111913E-2</c:v>
                </c:pt>
                <c:pt idx="11">
                  <c:v>-1.972852091075258E-2</c:v>
                </c:pt>
                <c:pt idx="12">
                  <c:v>-1.1538037938971303E-2</c:v>
                </c:pt>
                <c:pt idx="13">
                  <c:v>4.6440828879980986E-3</c:v>
                </c:pt>
              </c:numCache>
            </c:numRef>
          </c:yVal>
          <c:smooth val="0"/>
        </c:ser>
        <c:ser>
          <c:idx val="1"/>
          <c:order val="4"/>
          <c:tx>
            <c:strRef>
              <c:f>'Burger_Tab. 14'!$R$8</c:f>
              <c:strCache>
                <c:ptCount val="1"/>
                <c:pt idx="0">
                  <c:v>lineares modell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'Burger_Tab. 14'!$A$10:$A$23</c:f>
              <c:numCache>
                <c:formatCode>General</c:formatCode>
                <c:ptCount val="14"/>
                <c:pt idx="0">
                  <c:v>14</c:v>
                </c:pt>
                <c:pt idx="1">
                  <c:v>16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24</c:v>
                </c:pt>
                <c:pt idx="6">
                  <c:v>26</c:v>
                </c:pt>
                <c:pt idx="7">
                  <c:v>28</c:v>
                </c:pt>
                <c:pt idx="8">
                  <c:v>30</c:v>
                </c:pt>
                <c:pt idx="9">
                  <c:v>32</c:v>
                </c:pt>
                <c:pt idx="10">
                  <c:v>34</c:v>
                </c:pt>
                <c:pt idx="11">
                  <c:v>36</c:v>
                </c:pt>
                <c:pt idx="12">
                  <c:v>38</c:v>
                </c:pt>
                <c:pt idx="13">
                  <c:v>40</c:v>
                </c:pt>
              </c:numCache>
            </c:numRef>
          </c:xVal>
          <c:yVal>
            <c:numRef>
              <c:f>'Burger_Tab. 14'!$S$10:$S$23</c:f>
              <c:numCache>
                <c:formatCode>General</c:formatCode>
                <c:ptCount val="14"/>
                <c:pt idx="0">
                  <c:v>-5.5707267940430148E-2</c:v>
                </c:pt>
                <c:pt idx="1">
                  <c:v>-9.9712689059689268E-3</c:v>
                </c:pt>
                <c:pt idx="2">
                  <c:v>1.0375101735242E-2</c:v>
                </c:pt>
                <c:pt idx="3">
                  <c:v>2.5727136610684358E-2</c:v>
                </c:pt>
                <c:pt idx="4">
                  <c:v>3.1501061327651757E-2</c:v>
                </c:pt>
                <c:pt idx="5">
                  <c:v>2.584467246048323E-2</c:v>
                </c:pt>
                <c:pt idx="6">
                  <c:v>1.3280276080417069E-2</c:v>
                </c:pt>
                <c:pt idx="7">
                  <c:v>5.1304429943796828E-4</c:v>
                </c:pt>
                <c:pt idx="8">
                  <c:v>-1.1972054393702275E-2</c:v>
                </c:pt>
                <c:pt idx="9">
                  <c:v>-1.8683419518883086E-2</c:v>
                </c:pt>
                <c:pt idx="10">
                  <c:v>-1.6643823855353318E-2</c:v>
                </c:pt>
                <c:pt idx="11">
                  <c:v>-1.2574596822064106E-2</c:v>
                </c:pt>
                <c:pt idx="12">
                  <c:v>-8.8245264133841644E-4</c:v>
                </c:pt>
                <c:pt idx="13">
                  <c:v>1.9071478009389433E-2</c:v>
                </c:pt>
              </c:numCache>
            </c:numRef>
          </c:yVal>
          <c:smooth val="0"/>
        </c:ser>
        <c:ser>
          <c:idx val="2"/>
          <c:order val="5"/>
          <c:tx>
            <c:strRef>
              <c:f>'Burger_Tab. 15'!$R$9</c:f>
              <c:strCache>
                <c:ptCount val="1"/>
                <c:pt idx="0">
                  <c:v>lineares modell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'Burger_Tab. 15'!$A$10:$A$22</c:f>
              <c:numCache>
                <c:formatCode>General</c:formatCode>
                <c:ptCount val="13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</c:numCache>
            </c:numRef>
          </c:xVal>
          <c:yVal>
            <c:numRef>
              <c:f>'Burger_Tab. 15'!$S$10:$S$22</c:f>
              <c:numCache>
                <c:formatCode>General</c:formatCode>
                <c:ptCount val="13"/>
                <c:pt idx="0">
                  <c:v>-3.9959728470254696E-2</c:v>
                </c:pt>
                <c:pt idx="1">
                  <c:v>-2.7131995369631987E-2</c:v>
                </c:pt>
                <c:pt idx="2">
                  <c:v>-1.3964371806455928E-2</c:v>
                </c:pt>
                <c:pt idx="3">
                  <c:v>-1.1056414596905143E-3</c:v>
                </c:pt>
                <c:pt idx="4">
                  <c:v>1.1166515142328803E-2</c:v>
                </c:pt>
                <c:pt idx="5">
                  <c:v>2.2746493953274612E-2</c:v>
                </c:pt>
                <c:pt idx="6">
                  <c:v>2.6556111643555699E-2</c:v>
                </c:pt>
                <c:pt idx="7">
                  <c:v>2.519405917069379E-2</c:v>
                </c:pt>
                <c:pt idx="8">
                  <c:v>1.5365491509516955E-2</c:v>
                </c:pt>
                <c:pt idx="9">
                  <c:v>7.1759055009736651E-3</c:v>
                </c:pt>
                <c:pt idx="10">
                  <c:v>-3.572602999282875E-3</c:v>
                </c:pt>
                <c:pt idx="11">
                  <c:v>-1.236924757276142E-2</c:v>
                </c:pt>
                <c:pt idx="12">
                  <c:v>-2.4019109139820343E-2</c:v>
                </c:pt>
              </c:numCache>
            </c:numRef>
          </c:yVal>
          <c:smooth val="0"/>
        </c:ser>
        <c:ser>
          <c:idx val="5"/>
          <c:order val="6"/>
          <c:tx>
            <c:strRef>
              <c:f>'Burger_Tab. 15'!$T$9</c:f>
              <c:strCache>
                <c:ptCount val="1"/>
                <c:pt idx="0">
                  <c:v>potenzfunktion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'Burger_Tab. 15'!$A$10:$A$22</c:f>
              <c:numCache>
                <c:formatCode>General</c:formatCode>
                <c:ptCount val="13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</c:numCache>
            </c:numRef>
          </c:xVal>
          <c:yVal>
            <c:numRef>
              <c:f>'Burger_Tab. 15'!$U$10:$U$22</c:f>
              <c:numCache>
                <c:formatCode>General</c:formatCode>
                <c:ptCount val="13"/>
                <c:pt idx="0">
                  <c:v>-1.2325626544687005E-2</c:v>
                </c:pt>
                <c:pt idx="1">
                  <c:v>-1.1969506235120542E-2</c:v>
                </c:pt>
                <c:pt idx="2">
                  <c:v>-7.3586393786018158E-3</c:v>
                </c:pt>
                <c:pt idx="3">
                  <c:v>-3.0710956702455347E-4</c:v>
                </c:pt>
                <c:pt idx="4">
                  <c:v>8.1656122303162063E-3</c:v>
                </c:pt>
                <c:pt idx="5">
                  <c:v>1.7454909070154356E-2</c:v>
                </c:pt>
                <c:pt idx="6">
                  <c:v>2.0176458646199082E-2</c:v>
                </c:pt>
                <c:pt idx="7">
                  <c:v>1.8662244741724031E-2</c:v>
                </c:pt>
                <c:pt idx="8">
                  <c:v>9.4269424561462985E-3</c:v>
                </c:pt>
                <c:pt idx="9">
                  <c:v>2.3427716640851302E-3</c:v>
                </c:pt>
                <c:pt idx="10">
                  <c:v>-6.8966688873170878E-3</c:v>
                </c:pt>
                <c:pt idx="11">
                  <c:v>-1.3898396352695465E-2</c:v>
                </c:pt>
                <c:pt idx="12">
                  <c:v>-2.35347225542357E-2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156416"/>
        <c:axId val="218156992"/>
      </c:scatterChart>
      <c:valAx>
        <c:axId val="21815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156992"/>
        <c:crosses val="autoZero"/>
        <c:crossBetween val="midCat"/>
      </c:valAx>
      <c:valAx>
        <c:axId val="218156992"/>
        <c:scaling>
          <c:orientation val="minMax"/>
          <c:max val="0.1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156416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7"/>
        <c:delete val="1"/>
      </c:legendEntry>
      <c:layout>
        <c:manualLayout>
          <c:xMode val="edge"/>
          <c:yMode val="edge"/>
          <c:x val="0.86458333333333337"/>
          <c:y val="0.37605396290050591"/>
          <c:w val="0.13124999999999998"/>
          <c:h val="0.249578414839797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KronenD-BHD-Relationen nach Quellen</a:t>
            </a:r>
          </a:p>
        </c:rich>
      </c:tx>
      <c:layout>
        <c:manualLayout>
          <c:xMode val="edge"/>
          <c:yMode val="edge"/>
          <c:x val="0.28771202903581367"/>
          <c:y val="3.08016836704446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970445035208891E-2"/>
          <c:y val="0.13552786035119752"/>
          <c:w val="0.87705748699528296"/>
          <c:h val="0.6365702531647156"/>
        </c:manualLayout>
      </c:layout>
      <c:scatterChart>
        <c:scatterStyle val="lineMarker"/>
        <c:varyColors val="0"/>
        <c:ser>
          <c:idx val="1"/>
          <c:order val="0"/>
          <c:tx>
            <c:v>KieferBartsch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(Bartsch!$H$108:$H$211,Bartsch!$E$223:$E$230)</c:f>
              <c:numCache>
                <c:formatCode>General</c:formatCode>
                <c:ptCount val="112"/>
                <c:pt idx="0">
                  <c:v>4.5</c:v>
                </c:pt>
                <c:pt idx="1">
                  <c:v>5</c:v>
                </c:pt>
                <c:pt idx="2">
                  <c:v>5</c:v>
                </c:pt>
                <c:pt idx="3">
                  <c:v>3.5</c:v>
                </c:pt>
                <c:pt idx="4">
                  <c:v>3.5</c:v>
                </c:pt>
                <c:pt idx="5">
                  <c:v>5</c:v>
                </c:pt>
                <c:pt idx="6">
                  <c:v>6</c:v>
                </c:pt>
                <c:pt idx="7">
                  <c:v>4.5</c:v>
                </c:pt>
                <c:pt idx="8">
                  <c:v>5</c:v>
                </c:pt>
                <c:pt idx="9">
                  <c:v>6</c:v>
                </c:pt>
                <c:pt idx="10">
                  <c:v>5.5</c:v>
                </c:pt>
                <c:pt idx="11">
                  <c:v>5.5</c:v>
                </c:pt>
                <c:pt idx="12">
                  <c:v>6.25</c:v>
                </c:pt>
                <c:pt idx="13">
                  <c:v>4</c:v>
                </c:pt>
                <c:pt idx="14">
                  <c:v>5</c:v>
                </c:pt>
                <c:pt idx="15">
                  <c:v>6.25</c:v>
                </c:pt>
                <c:pt idx="16">
                  <c:v>6.75</c:v>
                </c:pt>
                <c:pt idx="17">
                  <c:v>6.75</c:v>
                </c:pt>
                <c:pt idx="18">
                  <c:v>5</c:v>
                </c:pt>
                <c:pt idx="19">
                  <c:v>6.5</c:v>
                </c:pt>
                <c:pt idx="20">
                  <c:v>13.75</c:v>
                </c:pt>
                <c:pt idx="21">
                  <c:v>12.5</c:v>
                </c:pt>
                <c:pt idx="22">
                  <c:v>13.5</c:v>
                </c:pt>
                <c:pt idx="23">
                  <c:v>10.25</c:v>
                </c:pt>
                <c:pt idx="24">
                  <c:v>13.5</c:v>
                </c:pt>
                <c:pt idx="25">
                  <c:v>13.5</c:v>
                </c:pt>
                <c:pt idx="26">
                  <c:v>13.25</c:v>
                </c:pt>
                <c:pt idx="27">
                  <c:v>16.75</c:v>
                </c:pt>
                <c:pt idx="28">
                  <c:v>15.5</c:v>
                </c:pt>
                <c:pt idx="29">
                  <c:v>14.25</c:v>
                </c:pt>
                <c:pt idx="30">
                  <c:v>11.75</c:v>
                </c:pt>
                <c:pt idx="31">
                  <c:v>13.75</c:v>
                </c:pt>
                <c:pt idx="32">
                  <c:v>12</c:v>
                </c:pt>
                <c:pt idx="33">
                  <c:v>16.5</c:v>
                </c:pt>
                <c:pt idx="34">
                  <c:v>13</c:v>
                </c:pt>
                <c:pt idx="35">
                  <c:v>9.75</c:v>
                </c:pt>
                <c:pt idx="36">
                  <c:v>16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17</c:v>
                </c:pt>
                <c:pt idx="41">
                  <c:v>22.75</c:v>
                </c:pt>
                <c:pt idx="42">
                  <c:v>26.25</c:v>
                </c:pt>
                <c:pt idx="43">
                  <c:v>23.5</c:v>
                </c:pt>
                <c:pt idx="44">
                  <c:v>19</c:v>
                </c:pt>
                <c:pt idx="45">
                  <c:v>20</c:v>
                </c:pt>
                <c:pt idx="46">
                  <c:v>23.75</c:v>
                </c:pt>
                <c:pt idx="47">
                  <c:v>19.75</c:v>
                </c:pt>
                <c:pt idx="48">
                  <c:v>23</c:v>
                </c:pt>
                <c:pt idx="49">
                  <c:v>17.75</c:v>
                </c:pt>
                <c:pt idx="50">
                  <c:v>25.5</c:v>
                </c:pt>
                <c:pt idx="51">
                  <c:v>20.25</c:v>
                </c:pt>
                <c:pt idx="52">
                  <c:v>20.5</c:v>
                </c:pt>
                <c:pt idx="53">
                  <c:v>21.75</c:v>
                </c:pt>
                <c:pt idx="54">
                  <c:v>21.5</c:v>
                </c:pt>
                <c:pt idx="55">
                  <c:v>24.5</c:v>
                </c:pt>
                <c:pt idx="56">
                  <c:v>22.5</c:v>
                </c:pt>
                <c:pt idx="57">
                  <c:v>26.25</c:v>
                </c:pt>
                <c:pt idx="58">
                  <c:v>21.75</c:v>
                </c:pt>
                <c:pt idx="59">
                  <c:v>21.75</c:v>
                </c:pt>
                <c:pt idx="60">
                  <c:v>35.75</c:v>
                </c:pt>
                <c:pt idx="61">
                  <c:v>32.5</c:v>
                </c:pt>
                <c:pt idx="62">
                  <c:v>31.5</c:v>
                </c:pt>
                <c:pt idx="63">
                  <c:v>34.25</c:v>
                </c:pt>
                <c:pt idx="64">
                  <c:v>33</c:v>
                </c:pt>
                <c:pt idx="65">
                  <c:v>28.5</c:v>
                </c:pt>
                <c:pt idx="66">
                  <c:v>25.25</c:v>
                </c:pt>
                <c:pt idx="67">
                  <c:v>26.25</c:v>
                </c:pt>
                <c:pt idx="68">
                  <c:v>29.75</c:v>
                </c:pt>
                <c:pt idx="69">
                  <c:v>26.5</c:v>
                </c:pt>
                <c:pt idx="70">
                  <c:v>30.75</c:v>
                </c:pt>
                <c:pt idx="71">
                  <c:v>39</c:v>
                </c:pt>
                <c:pt idx="72">
                  <c:v>22</c:v>
                </c:pt>
                <c:pt idx="73">
                  <c:v>30.75</c:v>
                </c:pt>
                <c:pt idx="74">
                  <c:v>50</c:v>
                </c:pt>
                <c:pt idx="75">
                  <c:v>34</c:v>
                </c:pt>
                <c:pt idx="76">
                  <c:v>37.75</c:v>
                </c:pt>
                <c:pt idx="77">
                  <c:v>32.75</c:v>
                </c:pt>
                <c:pt idx="78">
                  <c:v>35</c:v>
                </c:pt>
                <c:pt idx="79">
                  <c:v>42.5</c:v>
                </c:pt>
                <c:pt idx="80">
                  <c:v>38.25</c:v>
                </c:pt>
                <c:pt idx="81">
                  <c:v>36</c:v>
                </c:pt>
                <c:pt idx="82">
                  <c:v>35.5</c:v>
                </c:pt>
                <c:pt idx="83">
                  <c:v>45.5</c:v>
                </c:pt>
                <c:pt idx="84">
                  <c:v>45</c:v>
                </c:pt>
                <c:pt idx="85">
                  <c:v>49</c:v>
                </c:pt>
                <c:pt idx="86">
                  <c:v>36.75</c:v>
                </c:pt>
                <c:pt idx="87">
                  <c:v>46.25</c:v>
                </c:pt>
                <c:pt idx="88">
                  <c:v>24.25</c:v>
                </c:pt>
                <c:pt idx="89">
                  <c:v>28</c:v>
                </c:pt>
                <c:pt idx="90">
                  <c:v>21.25</c:v>
                </c:pt>
                <c:pt idx="91">
                  <c:v>31</c:v>
                </c:pt>
                <c:pt idx="92">
                  <c:v>25.25</c:v>
                </c:pt>
                <c:pt idx="93">
                  <c:v>31.25</c:v>
                </c:pt>
                <c:pt idx="94">
                  <c:v>47.25</c:v>
                </c:pt>
                <c:pt idx="95">
                  <c:v>45.75</c:v>
                </c:pt>
                <c:pt idx="96">
                  <c:v>46.75</c:v>
                </c:pt>
                <c:pt idx="97">
                  <c:v>44.25</c:v>
                </c:pt>
                <c:pt idx="98">
                  <c:v>48.5</c:v>
                </c:pt>
                <c:pt idx="99">
                  <c:v>38.25</c:v>
                </c:pt>
                <c:pt idx="100">
                  <c:v>47</c:v>
                </c:pt>
                <c:pt idx="101">
                  <c:v>39.75</c:v>
                </c:pt>
                <c:pt idx="102">
                  <c:v>36.25</c:v>
                </c:pt>
                <c:pt idx="103">
                  <c:v>40.75</c:v>
                </c:pt>
                <c:pt idx="104">
                  <c:v>6</c:v>
                </c:pt>
                <c:pt idx="105">
                  <c:v>10</c:v>
                </c:pt>
                <c:pt idx="106">
                  <c:v>7</c:v>
                </c:pt>
                <c:pt idx="107">
                  <c:v>12</c:v>
                </c:pt>
                <c:pt idx="108">
                  <c:v>14</c:v>
                </c:pt>
                <c:pt idx="109">
                  <c:v>21</c:v>
                </c:pt>
                <c:pt idx="110">
                  <c:v>18</c:v>
                </c:pt>
                <c:pt idx="111">
                  <c:v>19</c:v>
                </c:pt>
              </c:numCache>
            </c:numRef>
          </c:xVal>
          <c:yVal>
            <c:numRef>
              <c:f>Bartsch!$M$108:$M$211</c:f>
              <c:numCache>
                <c:formatCode>General</c:formatCode>
                <c:ptCount val="104"/>
                <c:pt idx="0">
                  <c:v>1.855</c:v>
                </c:pt>
                <c:pt idx="1">
                  <c:v>1.835</c:v>
                </c:pt>
                <c:pt idx="2">
                  <c:v>1.7800000000000002</c:v>
                </c:pt>
                <c:pt idx="3">
                  <c:v>1.2650000000000001</c:v>
                </c:pt>
                <c:pt idx="4">
                  <c:v>1.21</c:v>
                </c:pt>
                <c:pt idx="5">
                  <c:v>1.08</c:v>
                </c:pt>
                <c:pt idx="6">
                  <c:v>2.2650000000000001</c:v>
                </c:pt>
                <c:pt idx="7">
                  <c:v>1.1400000000000001</c:v>
                </c:pt>
                <c:pt idx="8">
                  <c:v>2.12</c:v>
                </c:pt>
                <c:pt idx="9">
                  <c:v>2.12</c:v>
                </c:pt>
                <c:pt idx="10">
                  <c:v>2.33</c:v>
                </c:pt>
                <c:pt idx="11">
                  <c:v>1.5550000000000002</c:v>
                </c:pt>
                <c:pt idx="12">
                  <c:v>2.0750000000000002</c:v>
                </c:pt>
                <c:pt idx="13">
                  <c:v>1.35</c:v>
                </c:pt>
                <c:pt idx="14">
                  <c:v>1.4750000000000001</c:v>
                </c:pt>
                <c:pt idx="15">
                  <c:v>1.415</c:v>
                </c:pt>
                <c:pt idx="16">
                  <c:v>1.94</c:v>
                </c:pt>
                <c:pt idx="17">
                  <c:v>2.0249999999999999</c:v>
                </c:pt>
                <c:pt idx="18">
                  <c:v>1.05</c:v>
                </c:pt>
                <c:pt idx="19">
                  <c:v>1.88</c:v>
                </c:pt>
                <c:pt idx="20">
                  <c:v>2.54</c:v>
                </c:pt>
                <c:pt idx="21">
                  <c:v>2.4849999999999999</c:v>
                </c:pt>
                <c:pt idx="22">
                  <c:v>2.15</c:v>
                </c:pt>
                <c:pt idx="23">
                  <c:v>1.8399999999999999</c:v>
                </c:pt>
                <c:pt idx="24">
                  <c:v>2.92</c:v>
                </c:pt>
                <c:pt idx="25">
                  <c:v>2.9550000000000001</c:v>
                </c:pt>
                <c:pt idx="26">
                  <c:v>3.17</c:v>
                </c:pt>
                <c:pt idx="27">
                  <c:v>3.3200000000000003</c:v>
                </c:pt>
                <c:pt idx="28">
                  <c:v>3.2850000000000001</c:v>
                </c:pt>
                <c:pt idx="29">
                  <c:v>2.5750000000000002</c:v>
                </c:pt>
                <c:pt idx="30">
                  <c:v>2.98</c:v>
                </c:pt>
                <c:pt idx="31">
                  <c:v>3.09</c:v>
                </c:pt>
                <c:pt idx="32">
                  <c:v>2.7050000000000001</c:v>
                </c:pt>
                <c:pt idx="33">
                  <c:v>4.66</c:v>
                </c:pt>
                <c:pt idx="34">
                  <c:v>3.1949999999999998</c:v>
                </c:pt>
                <c:pt idx="35">
                  <c:v>1.86</c:v>
                </c:pt>
                <c:pt idx="36">
                  <c:v>3.8250000000000002</c:v>
                </c:pt>
                <c:pt idx="37">
                  <c:v>1.7649999999999999</c:v>
                </c:pt>
                <c:pt idx="38">
                  <c:v>2.4950000000000001</c:v>
                </c:pt>
                <c:pt idx="39">
                  <c:v>2.605</c:v>
                </c:pt>
                <c:pt idx="40">
                  <c:v>2.1749999999999998</c:v>
                </c:pt>
                <c:pt idx="41">
                  <c:v>4.16</c:v>
                </c:pt>
                <c:pt idx="42">
                  <c:v>4.8</c:v>
                </c:pt>
                <c:pt idx="43">
                  <c:v>3.5900000000000003</c:v>
                </c:pt>
                <c:pt idx="44">
                  <c:v>3.4449999999999998</c:v>
                </c:pt>
                <c:pt idx="45">
                  <c:v>2.9400000000000004</c:v>
                </c:pt>
                <c:pt idx="46">
                  <c:v>4.4700000000000006</c:v>
                </c:pt>
                <c:pt idx="47">
                  <c:v>4.0249999999999995</c:v>
                </c:pt>
                <c:pt idx="48">
                  <c:v>4.3100000000000005</c:v>
                </c:pt>
                <c:pt idx="49">
                  <c:v>4.5600000000000005</c:v>
                </c:pt>
                <c:pt idx="50">
                  <c:v>4.8550000000000004</c:v>
                </c:pt>
                <c:pt idx="51">
                  <c:v>3.6049999999999995</c:v>
                </c:pt>
                <c:pt idx="52">
                  <c:v>4.8849999999999998</c:v>
                </c:pt>
                <c:pt idx="53">
                  <c:v>4.2850000000000001</c:v>
                </c:pt>
                <c:pt idx="54">
                  <c:v>3.2949999999999999</c:v>
                </c:pt>
                <c:pt idx="55">
                  <c:v>5.3100000000000005</c:v>
                </c:pt>
                <c:pt idx="56">
                  <c:v>3.8849999999999998</c:v>
                </c:pt>
                <c:pt idx="57">
                  <c:v>3.9099999999999997</c:v>
                </c:pt>
                <c:pt idx="58">
                  <c:v>4.7149999999999999</c:v>
                </c:pt>
                <c:pt idx="59">
                  <c:v>4.2750000000000004</c:v>
                </c:pt>
                <c:pt idx="60">
                  <c:v>5.98</c:v>
                </c:pt>
                <c:pt idx="61">
                  <c:v>5.67</c:v>
                </c:pt>
                <c:pt idx="62">
                  <c:v>5.91</c:v>
                </c:pt>
                <c:pt idx="63">
                  <c:v>6.5350000000000001</c:v>
                </c:pt>
                <c:pt idx="64">
                  <c:v>6.9300000000000006</c:v>
                </c:pt>
                <c:pt idx="65">
                  <c:v>6.1449999999999996</c:v>
                </c:pt>
                <c:pt idx="66">
                  <c:v>5.2949999999999999</c:v>
                </c:pt>
                <c:pt idx="67">
                  <c:v>5.0299999999999994</c:v>
                </c:pt>
                <c:pt idx="68">
                  <c:v>4.83</c:v>
                </c:pt>
                <c:pt idx="69">
                  <c:v>4.0649999999999995</c:v>
                </c:pt>
                <c:pt idx="70">
                  <c:v>4.8550000000000004</c:v>
                </c:pt>
                <c:pt idx="71">
                  <c:v>6.22</c:v>
                </c:pt>
                <c:pt idx="72">
                  <c:v>2.5150000000000001</c:v>
                </c:pt>
                <c:pt idx="73">
                  <c:v>3.82</c:v>
                </c:pt>
                <c:pt idx="74">
                  <c:v>8.83</c:v>
                </c:pt>
                <c:pt idx="75">
                  <c:v>4.665</c:v>
                </c:pt>
                <c:pt idx="76">
                  <c:v>3.9299999999999997</c:v>
                </c:pt>
                <c:pt idx="77">
                  <c:v>3.835</c:v>
                </c:pt>
                <c:pt idx="78">
                  <c:v>5.4350000000000005</c:v>
                </c:pt>
                <c:pt idx="79">
                  <c:v>5.7249999999999996</c:v>
                </c:pt>
                <c:pt idx="80">
                  <c:v>6.919999999999999</c:v>
                </c:pt>
                <c:pt idx="81">
                  <c:v>4.5199999999999996</c:v>
                </c:pt>
                <c:pt idx="82">
                  <c:v>6.17</c:v>
                </c:pt>
                <c:pt idx="83">
                  <c:v>7.3449999999999998</c:v>
                </c:pt>
                <c:pt idx="84">
                  <c:v>6.3449999999999998</c:v>
                </c:pt>
                <c:pt idx="85">
                  <c:v>6.1850000000000005</c:v>
                </c:pt>
                <c:pt idx="86">
                  <c:v>5.41</c:v>
                </c:pt>
                <c:pt idx="87">
                  <c:v>5.585</c:v>
                </c:pt>
                <c:pt idx="88">
                  <c:v>3.4249999999999998</c:v>
                </c:pt>
                <c:pt idx="89">
                  <c:v>5.1749999999999998</c:v>
                </c:pt>
                <c:pt idx="90">
                  <c:v>3.9950000000000001</c:v>
                </c:pt>
                <c:pt idx="91">
                  <c:v>6.15</c:v>
                </c:pt>
                <c:pt idx="92">
                  <c:v>4.09</c:v>
                </c:pt>
                <c:pt idx="93">
                  <c:v>4.2350000000000003</c:v>
                </c:pt>
                <c:pt idx="94">
                  <c:v>9.2449999999999992</c:v>
                </c:pt>
                <c:pt idx="95">
                  <c:v>7.32</c:v>
                </c:pt>
                <c:pt idx="96">
                  <c:v>5.47</c:v>
                </c:pt>
                <c:pt idx="97">
                  <c:v>6.085</c:v>
                </c:pt>
                <c:pt idx="98">
                  <c:v>6.53</c:v>
                </c:pt>
                <c:pt idx="99">
                  <c:v>7.5</c:v>
                </c:pt>
                <c:pt idx="100">
                  <c:v>7.59</c:v>
                </c:pt>
                <c:pt idx="101">
                  <c:v>6.74</c:v>
                </c:pt>
                <c:pt idx="102">
                  <c:v>7.9550000000000001</c:v>
                </c:pt>
                <c:pt idx="103">
                  <c:v>6.0550000000000006</c:v>
                </c:pt>
              </c:numCache>
            </c:numRef>
          </c:yVal>
          <c:smooth val="0"/>
        </c:ser>
        <c:ser>
          <c:idx val="0"/>
          <c:order val="1"/>
          <c:tx>
            <c:v>AltKieferDengler-1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DenglerKI!$E$9:$E$27</c:f>
              <c:numCache>
                <c:formatCode>General</c:formatCode>
                <c:ptCount val="19"/>
                <c:pt idx="0">
                  <c:v>52</c:v>
                </c:pt>
                <c:pt idx="1">
                  <c:v>84</c:v>
                </c:pt>
                <c:pt idx="2">
                  <c:v>44</c:v>
                </c:pt>
                <c:pt idx="3">
                  <c:v>72</c:v>
                </c:pt>
                <c:pt idx="4">
                  <c:v>61</c:v>
                </c:pt>
                <c:pt idx="5">
                  <c:v>57</c:v>
                </c:pt>
                <c:pt idx="6">
                  <c:v>59</c:v>
                </c:pt>
                <c:pt idx="7">
                  <c:v>38.5</c:v>
                </c:pt>
                <c:pt idx="8">
                  <c:v>58.5</c:v>
                </c:pt>
                <c:pt idx="9">
                  <c:v>45</c:v>
                </c:pt>
                <c:pt idx="10">
                  <c:v>38</c:v>
                </c:pt>
                <c:pt idx="11">
                  <c:v>40</c:v>
                </c:pt>
                <c:pt idx="12">
                  <c:v>42.5</c:v>
                </c:pt>
                <c:pt idx="13">
                  <c:v>47.5</c:v>
                </c:pt>
                <c:pt idx="14">
                  <c:v>63</c:v>
                </c:pt>
                <c:pt idx="15">
                  <c:v>49</c:v>
                </c:pt>
                <c:pt idx="16">
                  <c:v>52.5</c:v>
                </c:pt>
                <c:pt idx="17">
                  <c:v>56</c:v>
                </c:pt>
                <c:pt idx="18">
                  <c:v>79.5</c:v>
                </c:pt>
              </c:numCache>
            </c:numRef>
          </c:xVal>
          <c:yVal>
            <c:numRef>
              <c:f>DenglerKI!$J$9:$J$27</c:f>
              <c:numCache>
                <c:formatCode>0.00</c:formatCode>
                <c:ptCount val="19"/>
                <c:pt idx="0">
                  <c:v>8</c:v>
                </c:pt>
                <c:pt idx="1">
                  <c:v>9</c:v>
                </c:pt>
                <c:pt idx="2">
                  <c:v>8</c:v>
                </c:pt>
                <c:pt idx="3">
                  <c:v>11</c:v>
                </c:pt>
                <c:pt idx="4">
                  <c:v>9.3000000000000007</c:v>
                </c:pt>
                <c:pt idx="5">
                  <c:v>9.5500000000000007</c:v>
                </c:pt>
                <c:pt idx="6">
                  <c:v>8</c:v>
                </c:pt>
                <c:pt idx="7">
                  <c:v>7.1999999999999993</c:v>
                </c:pt>
                <c:pt idx="8">
                  <c:v>11.95</c:v>
                </c:pt>
                <c:pt idx="9">
                  <c:v>6.95</c:v>
                </c:pt>
                <c:pt idx="10">
                  <c:v>6.9499999999999993</c:v>
                </c:pt>
                <c:pt idx="11">
                  <c:v>5.45</c:v>
                </c:pt>
                <c:pt idx="12">
                  <c:v>7.95</c:v>
                </c:pt>
                <c:pt idx="13">
                  <c:v>6.6999999999999993</c:v>
                </c:pt>
                <c:pt idx="14">
                  <c:v>9.8500000000000014</c:v>
                </c:pt>
                <c:pt idx="15">
                  <c:v>8.9</c:v>
                </c:pt>
                <c:pt idx="16">
                  <c:v>9.9</c:v>
                </c:pt>
                <c:pt idx="17">
                  <c:v>7.4</c:v>
                </c:pt>
                <c:pt idx="18">
                  <c:v>10.85</c:v>
                </c:pt>
              </c:numCache>
            </c:numRef>
          </c:yVal>
          <c:smooth val="0"/>
        </c:ser>
        <c:ser>
          <c:idx val="2"/>
          <c:order val="2"/>
          <c:tx>
            <c:v>AltkieferDengler-2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DenglerKI!$F$64:$F$67</c:f>
              <c:numCache>
                <c:formatCode>General</c:formatCode>
                <c:ptCount val="4"/>
                <c:pt idx="0">
                  <c:v>76.3</c:v>
                </c:pt>
                <c:pt idx="1">
                  <c:v>56.5</c:v>
                </c:pt>
                <c:pt idx="2">
                  <c:v>47.5</c:v>
                </c:pt>
                <c:pt idx="3">
                  <c:v>39.1</c:v>
                </c:pt>
              </c:numCache>
            </c:numRef>
          </c:xVal>
          <c:yVal>
            <c:numRef>
              <c:f>DenglerKI!$I$64:$I$67</c:f>
              <c:numCache>
                <c:formatCode>0.00</c:formatCode>
                <c:ptCount val="4"/>
                <c:pt idx="0">
                  <c:v>9.5078958783676697</c:v>
                </c:pt>
                <c:pt idx="1">
                  <c:v>7.1364994785833371</c:v>
                </c:pt>
                <c:pt idx="2">
                  <c:v>6.3830791822016586</c:v>
                </c:pt>
                <c:pt idx="3">
                  <c:v>3.5682497392916686</c:v>
                </c:pt>
              </c:numCache>
            </c:numRef>
          </c:yVal>
          <c:smooth val="0"/>
        </c:ser>
        <c:ser>
          <c:idx val="3"/>
          <c:order val="3"/>
          <c:tx>
            <c:v>Burger-1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808000"/>
              </a:solidFill>
              <a:ln>
                <a:solidFill>
                  <a:srgbClr val="808000"/>
                </a:solidFill>
                <a:prstDash val="solid"/>
              </a:ln>
            </c:spPr>
          </c:marker>
          <c:xVal>
            <c:numRef>
              <c:f>DenglerKI!$A$82:$A$105</c:f>
              <c:numCache>
                <c:formatCode>General</c:formatCode>
                <c:ptCount val="2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</c:numCache>
            </c:numRef>
          </c:xVal>
          <c:yVal>
            <c:numRef>
              <c:f>DenglerKI!$I$82:$I$105</c:f>
              <c:numCache>
                <c:formatCode>0.00</c:formatCode>
                <c:ptCount val="24"/>
                <c:pt idx="0">
                  <c:v>1.009253008808064</c:v>
                </c:pt>
                <c:pt idx="1">
                  <c:v>1.4272992929222168</c:v>
                </c:pt>
                <c:pt idx="2">
                  <c:v>1.7480774889473265</c:v>
                </c:pt>
                <c:pt idx="3">
                  <c:v>2.0498025508877769</c:v>
                </c:pt>
                <c:pt idx="4">
                  <c:v>2.3124891541124435</c:v>
                </c:pt>
                <c:pt idx="5">
                  <c:v>2.548238936628457</c:v>
                </c:pt>
                <c:pt idx="6">
                  <c:v>2.763953195770684</c:v>
                </c:pt>
                <c:pt idx="7">
                  <c:v>2.9640095915284457</c:v>
                </c:pt>
                <c:pt idx="8">
                  <c:v>3.1513915099419605</c:v>
                </c:pt>
                <c:pt idx="9">
                  <c:v>3.3473135487536019</c:v>
                </c:pt>
                <c:pt idx="10">
                  <c:v>3.5503621636219189</c:v>
                </c:pt>
                <c:pt idx="11">
                  <c:v>3.7424103185095552</c:v>
                </c:pt>
                <c:pt idx="12">
                  <c:v>3.9250730555360964</c:v>
                </c:pt>
                <c:pt idx="13">
                  <c:v>4.1151046092387089</c:v>
                </c:pt>
                <c:pt idx="14">
                  <c:v>4.2967398569915609</c:v>
                </c:pt>
                <c:pt idx="15">
                  <c:v>4.4852184792733976</c:v>
                </c:pt>
                <c:pt idx="16">
                  <c:v>4.6660900350262517</c:v>
                </c:pt>
                <c:pt idx="17">
                  <c:v>4.8533423099551207</c:v>
                </c:pt>
                <c:pt idx="18">
                  <c:v>5.1585566280661199</c:v>
                </c:pt>
                <c:pt idx="19">
                  <c:v>5.2442324668419795</c:v>
                </c:pt>
                <c:pt idx="20">
                  <c:v>5.4583702097606759</c:v>
                </c:pt>
                <c:pt idx="21">
                  <c:v>5.686851891536576</c:v>
                </c:pt>
                <c:pt idx="22">
                  <c:v>5.9387486383213766</c:v>
                </c:pt>
                <c:pt idx="23">
                  <c:v>6.221453380035002</c:v>
                </c:pt>
              </c:numCache>
            </c:numRef>
          </c:yVal>
          <c:smooth val="0"/>
        </c:ser>
        <c:ser>
          <c:idx val="4"/>
          <c:order val="4"/>
          <c:tx>
            <c:v>Burger-2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DenglerKI!$A$115:$A$128</c:f>
              <c:numCache>
                <c:formatCode>General</c:formatCode>
                <c:ptCount val="14"/>
                <c:pt idx="0">
                  <c:v>14</c:v>
                </c:pt>
                <c:pt idx="1">
                  <c:v>16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24</c:v>
                </c:pt>
                <c:pt idx="6">
                  <c:v>26</c:v>
                </c:pt>
                <c:pt idx="7">
                  <c:v>28</c:v>
                </c:pt>
                <c:pt idx="8">
                  <c:v>30</c:v>
                </c:pt>
                <c:pt idx="9">
                  <c:v>32</c:v>
                </c:pt>
                <c:pt idx="10">
                  <c:v>34</c:v>
                </c:pt>
                <c:pt idx="11">
                  <c:v>36</c:v>
                </c:pt>
                <c:pt idx="12">
                  <c:v>38</c:v>
                </c:pt>
                <c:pt idx="13">
                  <c:v>40</c:v>
                </c:pt>
              </c:numCache>
            </c:numRef>
          </c:xVal>
          <c:yVal>
            <c:numRef>
              <c:f>DenglerKI!$P$115:$P$128</c:f>
              <c:numCache>
                <c:formatCode>0.00</c:formatCode>
                <c:ptCount val="14"/>
                <c:pt idx="0">
                  <c:v>2.5731003930322749</c:v>
                </c:pt>
                <c:pt idx="1">
                  <c:v>2.717496892263898</c:v>
                </c:pt>
                <c:pt idx="2">
                  <c:v>2.9207370559031141</c:v>
                </c:pt>
                <c:pt idx="3">
                  <c:v>3.1311251163856024</c:v>
                </c:pt>
                <c:pt idx="4">
                  <c:v>3.3662786498064814</c:v>
                </c:pt>
                <c:pt idx="5">
                  <c:v>3.6389134731737842</c:v>
                </c:pt>
                <c:pt idx="6">
                  <c:v>3.9412589924754986</c:v>
                </c:pt>
                <c:pt idx="7">
                  <c:v>4.2520585056228128</c:v>
                </c:pt>
                <c:pt idx="8">
                  <c:v>4.5695873482905069</c:v>
                </c:pt>
                <c:pt idx="9">
                  <c:v>4.8664417732131584</c:v>
                </c:pt>
                <c:pt idx="10">
                  <c:v>5.1213996740680523</c:v>
                </c:pt>
                <c:pt idx="11">
                  <c:v>5.3642533227854443</c:v>
                </c:pt>
                <c:pt idx="12">
                  <c:v>5.5623485091339298</c:v>
                </c:pt>
                <c:pt idx="13">
                  <c:v>5.7091971716888672</c:v>
                </c:pt>
              </c:numCache>
            </c:numRef>
          </c:yVal>
          <c:smooth val="0"/>
        </c:ser>
        <c:ser>
          <c:idx val="5"/>
          <c:order val="5"/>
          <c:tx>
            <c:v>Flemes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Flemes!$G$4:$G$13</c:f>
              <c:numCache>
                <c:formatCode>General</c:formatCode>
                <c:ptCount val="10"/>
                <c:pt idx="0">
                  <c:v>56.3</c:v>
                </c:pt>
                <c:pt idx="1">
                  <c:v>62.8</c:v>
                </c:pt>
                <c:pt idx="2">
                  <c:v>54</c:v>
                </c:pt>
                <c:pt idx="3">
                  <c:v>48.5</c:v>
                </c:pt>
                <c:pt idx="4">
                  <c:v>53.8</c:v>
                </c:pt>
                <c:pt idx="5">
                  <c:v>48.5</c:v>
                </c:pt>
                <c:pt idx="6">
                  <c:v>47.6</c:v>
                </c:pt>
                <c:pt idx="7">
                  <c:v>44.7</c:v>
                </c:pt>
                <c:pt idx="8">
                  <c:v>37.299999999999997</c:v>
                </c:pt>
                <c:pt idx="9">
                  <c:v>38</c:v>
                </c:pt>
              </c:numCache>
            </c:numRef>
          </c:xVal>
          <c:yVal>
            <c:numRef>
              <c:f>Flemes!$H$4:$H$13</c:f>
              <c:numCache>
                <c:formatCode>General</c:formatCode>
                <c:ptCount val="10"/>
                <c:pt idx="0">
                  <c:v>11</c:v>
                </c:pt>
                <c:pt idx="1">
                  <c:v>11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6</c:v>
                </c:pt>
                <c:pt idx="6">
                  <c:v>8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</c:numCache>
            </c:numRef>
          </c:yVal>
          <c:smooth val="0"/>
        </c:ser>
        <c:ser>
          <c:idx val="6"/>
          <c:order val="6"/>
          <c:tx>
            <c:v>Burger-3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CCFF"/>
              </a:solidFill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DenglerKI!$A$139:$A$151</c:f>
              <c:numCache>
                <c:formatCode>General</c:formatCode>
                <c:ptCount val="13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</c:numCache>
            </c:numRef>
          </c:xVal>
          <c:yVal>
            <c:numRef>
              <c:f>DenglerKI!$P$139:$P$151</c:f>
              <c:numCache>
                <c:formatCode>0.00</c:formatCode>
                <c:ptCount val="13"/>
                <c:pt idx="0">
                  <c:v>2.5731003930322749</c:v>
                </c:pt>
                <c:pt idx="1">
                  <c:v>2.8768136958757959</c:v>
                </c:pt>
                <c:pt idx="2">
                  <c:v>3.1715284017974339</c:v>
                </c:pt>
                <c:pt idx="3">
                  <c:v>3.4595450164017998</c:v>
                </c:pt>
                <c:pt idx="4">
                  <c:v>3.7424103185095552</c:v>
                </c:pt>
                <c:pt idx="5">
                  <c:v>4.0212115361090577</c:v>
                </c:pt>
                <c:pt idx="6">
                  <c:v>4.3262710626597238</c:v>
                </c:pt>
                <c:pt idx="7">
                  <c:v>4.6524264916812781</c:v>
                </c:pt>
                <c:pt idx="8">
                  <c:v>5.0209703231304035</c:v>
                </c:pt>
                <c:pt idx="9">
                  <c:v>5.3879366755708729</c:v>
                </c:pt>
                <c:pt idx="10">
                  <c:v>5.7757143343539132</c:v>
                </c:pt>
                <c:pt idx="11">
                  <c:v>6.1597514911811055</c:v>
                </c:pt>
                <c:pt idx="12">
                  <c:v>6.5698417459267624</c:v>
                </c:pt>
              </c:numCache>
            </c:numRef>
          </c:yVal>
          <c:smooth val="0"/>
        </c:ser>
        <c:ser>
          <c:idx val="7"/>
          <c:order val="7"/>
          <c:tx>
            <c:v>Erteld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DenglerKI!$F$156:$F$165</c:f>
              <c:numCache>
                <c:formatCode>General</c:formatCode>
                <c:ptCount val="10"/>
                <c:pt idx="0">
                  <c:v>10.4</c:v>
                </c:pt>
                <c:pt idx="1">
                  <c:v>12.1</c:v>
                </c:pt>
                <c:pt idx="2">
                  <c:v>14.5</c:v>
                </c:pt>
                <c:pt idx="3">
                  <c:v>18.7</c:v>
                </c:pt>
                <c:pt idx="4">
                  <c:v>22.6</c:v>
                </c:pt>
                <c:pt idx="5">
                  <c:v>26.1</c:v>
                </c:pt>
                <c:pt idx="6">
                  <c:v>18.8</c:v>
                </c:pt>
                <c:pt idx="7">
                  <c:v>26.1</c:v>
                </c:pt>
                <c:pt idx="8">
                  <c:v>30.5</c:v>
                </c:pt>
                <c:pt idx="9">
                  <c:v>32.1</c:v>
                </c:pt>
              </c:numCache>
            </c:numRef>
          </c:xVal>
          <c:yVal>
            <c:numRef>
              <c:f>DenglerKI!$L$156:$L$165</c:f>
              <c:numCache>
                <c:formatCode>0.00</c:formatCode>
                <c:ptCount val="10"/>
                <c:pt idx="0">
                  <c:v>2.5099999999999998</c:v>
                </c:pt>
                <c:pt idx="1">
                  <c:v>2.69</c:v>
                </c:pt>
                <c:pt idx="2">
                  <c:v>3.28</c:v>
                </c:pt>
                <c:pt idx="3">
                  <c:v>3.28</c:v>
                </c:pt>
                <c:pt idx="4">
                  <c:v>4.51</c:v>
                </c:pt>
                <c:pt idx="5">
                  <c:v>4.0199999999999996</c:v>
                </c:pt>
                <c:pt idx="6">
                  <c:v>3.55</c:v>
                </c:pt>
                <c:pt idx="7">
                  <c:v>4.05</c:v>
                </c:pt>
                <c:pt idx="8">
                  <c:v>4.1100000000000003</c:v>
                </c:pt>
                <c:pt idx="9">
                  <c:v>4.8099999999999996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158144"/>
        <c:axId val="218158720"/>
      </c:scatterChart>
      <c:valAx>
        <c:axId val="21815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Brusthöhendurchmesser in cm</a:t>
                </a:r>
              </a:p>
            </c:rich>
          </c:tx>
          <c:layout>
            <c:manualLayout>
              <c:xMode val="edge"/>
              <c:yMode val="edge"/>
              <c:x val="0.39212354836155922"/>
              <c:y val="0.843969021326133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158720"/>
        <c:crosses val="autoZero"/>
        <c:crossBetween val="midCat"/>
      </c:valAx>
      <c:valAx>
        <c:axId val="218158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Kronendurchmesser in m</a:t>
                </a:r>
              </a:p>
            </c:rich>
          </c:tx>
          <c:layout>
            <c:manualLayout>
              <c:xMode val="edge"/>
              <c:yMode val="edge"/>
              <c:x val="2.5522894324984322E-2"/>
              <c:y val="0.248467719769115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1581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9885574048023573E-2"/>
          <c:y val="0.91378637218602299"/>
          <c:w val="0.94550511232499668"/>
          <c:h val="5.544320306984218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KronenRadius-BHD-Relationen</a:t>
            </a:r>
          </a:p>
        </c:rich>
      </c:tx>
      <c:layout>
        <c:manualLayout>
          <c:xMode val="edge"/>
          <c:yMode val="edge"/>
          <c:x val="0.32948996404351188"/>
          <c:y val="2.95283857234381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395687768583624E-2"/>
          <c:y val="0.13976806730093377"/>
          <c:w val="0.88442056360228039"/>
          <c:h val="0.67915469322284727"/>
        </c:manualLayout>
      </c:layout>
      <c:scatterChart>
        <c:scatterStyle val="lineMarker"/>
        <c:varyColors val="0"/>
        <c:ser>
          <c:idx val="6"/>
          <c:order val="0"/>
          <c:tx>
            <c:v>alle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6.8233490531442897E-2"/>
                  <c:y val="-0.1894498343446585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5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 val="-0.47072540730234713"/>
                  <c:y val="-0.1210392437839879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5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'##KrRKI_alle'!$F$4:$F$201</c:f>
              <c:numCache>
                <c:formatCode>General</c:formatCode>
                <c:ptCount val="198"/>
                <c:pt idx="0">
                  <c:v>4.5</c:v>
                </c:pt>
                <c:pt idx="1">
                  <c:v>5</c:v>
                </c:pt>
                <c:pt idx="2">
                  <c:v>5</c:v>
                </c:pt>
                <c:pt idx="3">
                  <c:v>3.5</c:v>
                </c:pt>
                <c:pt idx="4">
                  <c:v>3.5</c:v>
                </c:pt>
                <c:pt idx="5">
                  <c:v>5</c:v>
                </c:pt>
                <c:pt idx="6">
                  <c:v>6</c:v>
                </c:pt>
                <c:pt idx="7">
                  <c:v>4.5</c:v>
                </c:pt>
                <c:pt idx="8">
                  <c:v>5</c:v>
                </c:pt>
                <c:pt idx="9">
                  <c:v>6</c:v>
                </c:pt>
                <c:pt idx="10">
                  <c:v>5.5</c:v>
                </c:pt>
                <c:pt idx="11">
                  <c:v>5.5</c:v>
                </c:pt>
                <c:pt idx="12">
                  <c:v>6.25</c:v>
                </c:pt>
                <c:pt idx="13">
                  <c:v>4</c:v>
                </c:pt>
                <c:pt idx="14">
                  <c:v>5</c:v>
                </c:pt>
                <c:pt idx="15">
                  <c:v>6.25</c:v>
                </c:pt>
                <c:pt idx="16">
                  <c:v>6.75</c:v>
                </c:pt>
                <c:pt idx="17">
                  <c:v>6.75</c:v>
                </c:pt>
                <c:pt idx="18">
                  <c:v>5</c:v>
                </c:pt>
                <c:pt idx="19">
                  <c:v>6.5</c:v>
                </c:pt>
                <c:pt idx="20">
                  <c:v>13.75</c:v>
                </c:pt>
                <c:pt idx="21">
                  <c:v>12.5</c:v>
                </c:pt>
                <c:pt idx="22">
                  <c:v>13.5</c:v>
                </c:pt>
                <c:pt idx="23">
                  <c:v>10.25</c:v>
                </c:pt>
                <c:pt idx="24">
                  <c:v>13.5</c:v>
                </c:pt>
                <c:pt idx="25">
                  <c:v>13.5</c:v>
                </c:pt>
                <c:pt idx="26">
                  <c:v>13.25</c:v>
                </c:pt>
                <c:pt idx="27">
                  <c:v>16.75</c:v>
                </c:pt>
                <c:pt idx="28">
                  <c:v>15.5</c:v>
                </c:pt>
                <c:pt idx="29">
                  <c:v>14.25</c:v>
                </c:pt>
                <c:pt idx="30">
                  <c:v>11.75</c:v>
                </c:pt>
                <c:pt idx="31">
                  <c:v>13.75</c:v>
                </c:pt>
                <c:pt idx="32">
                  <c:v>12</c:v>
                </c:pt>
                <c:pt idx="33">
                  <c:v>16.5</c:v>
                </c:pt>
                <c:pt idx="34">
                  <c:v>13</c:v>
                </c:pt>
                <c:pt idx="35">
                  <c:v>9.75</c:v>
                </c:pt>
                <c:pt idx="36">
                  <c:v>16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17</c:v>
                </c:pt>
                <c:pt idx="41">
                  <c:v>22.75</c:v>
                </c:pt>
                <c:pt idx="42">
                  <c:v>26.25</c:v>
                </c:pt>
                <c:pt idx="43">
                  <c:v>23.5</c:v>
                </c:pt>
                <c:pt idx="44">
                  <c:v>19</c:v>
                </c:pt>
                <c:pt idx="45">
                  <c:v>20</c:v>
                </c:pt>
                <c:pt idx="46">
                  <c:v>23.75</c:v>
                </c:pt>
                <c:pt idx="47">
                  <c:v>19.75</c:v>
                </c:pt>
                <c:pt idx="48">
                  <c:v>23</c:v>
                </c:pt>
                <c:pt idx="49">
                  <c:v>17.75</c:v>
                </c:pt>
                <c:pt idx="50">
                  <c:v>25.5</c:v>
                </c:pt>
                <c:pt idx="51">
                  <c:v>20.25</c:v>
                </c:pt>
                <c:pt idx="52">
                  <c:v>20.5</c:v>
                </c:pt>
                <c:pt idx="53">
                  <c:v>21.75</c:v>
                </c:pt>
                <c:pt idx="54">
                  <c:v>21.5</c:v>
                </c:pt>
                <c:pt idx="55">
                  <c:v>24.5</c:v>
                </c:pt>
                <c:pt idx="56">
                  <c:v>22.5</c:v>
                </c:pt>
                <c:pt idx="57">
                  <c:v>26.25</c:v>
                </c:pt>
                <c:pt idx="58">
                  <c:v>21.75</c:v>
                </c:pt>
                <c:pt idx="59">
                  <c:v>21.75</c:v>
                </c:pt>
                <c:pt idx="60">
                  <c:v>35.75</c:v>
                </c:pt>
                <c:pt idx="61">
                  <c:v>32.5</c:v>
                </c:pt>
                <c:pt idx="62">
                  <c:v>31.5</c:v>
                </c:pt>
                <c:pt idx="63">
                  <c:v>34.25</c:v>
                </c:pt>
                <c:pt idx="64">
                  <c:v>33</c:v>
                </c:pt>
                <c:pt idx="65">
                  <c:v>28.5</c:v>
                </c:pt>
                <c:pt idx="66">
                  <c:v>25.25</c:v>
                </c:pt>
                <c:pt idx="67">
                  <c:v>26.25</c:v>
                </c:pt>
                <c:pt idx="68">
                  <c:v>29.75</c:v>
                </c:pt>
                <c:pt idx="69">
                  <c:v>26.5</c:v>
                </c:pt>
                <c:pt idx="70">
                  <c:v>30.75</c:v>
                </c:pt>
                <c:pt idx="71">
                  <c:v>39</c:v>
                </c:pt>
                <c:pt idx="72">
                  <c:v>22</c:v>
                </c:pt>
                <c:pt idx="73">
                  <c:v>30.75</c:v>
                </c:pt>
                <c:pt idx="74">
                  <c:v>50</c:v>
                </c:pt>
                <c:pt idx="75">
                  <c:v>34</c:v>
                </c:pt>
                <c:pt idx="76">
                  <c:v>37.75</c:v>
                </c:pt>
                <c:pt idx="77">
                  <c:v>32.75</c:v>
                </c:pt>
                <c:pt idx="78">
                  <c:v>35</c:v>
                </c:pt>
                <c:pt idx="79">
                  <c:v>42.5</c:v>
                </c:pt>
                <c:pt idx="80">
                  <c:v>38.25</c:v>
                </c:pt>
                <c:pt idx="81">
                  <c:v>36</c:v>
                </c:pt>
                <c:pt idx="82">
                  <c:v>35.5</c:v>
                </c:pt>
                <c:pt idx="83">
                  <c:v>45.5</c:v>
                </c:pt>
                <c:pt idx="84">
                  <c:v>45</c:v>
                </c:pt>
                <c:pt idx="85">
                  <c:v>49</c:v>
                </c:pt>
                <c:pt idx="86">
                  <c:v>36.75</c:v>
                </c:pt>
                <c:pt idx="87">
                  <c:v>46.25</c:v>
                </c:pt>
                <c:pt idx="88">
                  <c:v>24.25</c:v>
                </c:pt>
                <c:pt idx="89">
                  <c:v>28</c:v>
                </c:pt>
                <c:pt idx="90">
                  <c:v>21.25</c:v>
                </c:pt>
                <c:pt idx="91">
                  <c:v>31</c:v>
                </c:pt>
                <c:pt idx="92">
                  <c:v>25.25</c:v>
                </c:pt>
                <c:pt idx="93">
                  <c:v>31.25</c:v>
                </c:pt>
                <c:pt idx="94">
                  <c:v>47.25</c:v>
                </c:pt>
                <c:pt idx="95">
                  <c:v>45.75</c:v>
                </c:pt>
                <c:pt idx="96">
                  <c:v>46.75</c:v>
                </c:pt>
                <c:pt idx="97">
                  <c:v>44.25</c:v>
                </c:pt>
                <c:pt idx="98">
                  <c:v>48.5</c:v>
                </c:pt>
                <c:pt idx="99">
                  <c:v>38.25</c:v>
                </c:pt>
                <c:pt idx="100">
                  <c:v>47</c:v>
                </c:pt>
                <c:pt idx="101">
                  <c:v>39.75</c:v>
                </c:pt>
                <c:pt idx="102">
                  <c:v>36.25</c:v>
                </c:pt>
                <c:pt idx="103">
                  <c:v>40.75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10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18</c:v>
                </c:pt>
                <c:pt idx="112">
                  <c:v>20</c:v>
                </c:pt>
                <c:pt idx="113">
                  <c:v>22</c:v>
                </c:pt>
                <c:pt idx="114">
                  <c:v>24</c:v>
                </c:pt>
                <c:pt idx="115">
                  <c:v>26</c:v>
                </c:pt>
                <c:pt idx="116">
                  <c:v>28</c:v>
                </c:pt>
                <c:pt idx="117">
                  <c:v>30</c:v>
                </c:pt>
                <c:pt idx="118">
                  <c:v>32</c:v>
                </c:pt>
                <c:pt idx="119">
                  <c:v>34</c:v>
                </c:pt>
                <c:pt idx="120">
                  <c:v>36</c:v>
                </c:pt>
                <c:pt idx="121">
                  <c:v>38</c:v>
                </c:pt>
                <c:pt idx="122">
                  <c:v>40</c:v>
                </c:pt>
                <c:pt idx="123">
                  <c:v>42</c:v>
                </c:pt>
                <c:pt idx="124">
                  <c:v>44</c:v>
                </c:pt>
                <c:pt idx="125">
                  <c:v>46</c:v>
                </c:pt>
                <c:pt idx="126">
                  <c:v>48</c:v>
                </c:pt>
                <c:pt idx="127">
                  <c:v>50</c:v>
                </c:pt>
                <c:pt idx="128">
                  <c:v>14</c:v>
                </c:pt>
                <c:pt idx="129">
                  <c:v>16</c:v>
                </c:pt>
                <c:pt idx="130">
                  <c:v>18</c:v>
                </c:pt>
                <c:pt idx="131">
                  <c:v>20</c:v>
                </c:pt>
                <c:pt idx="132">
                  <c:v>22</c:v>
                </c:pt>
                <c:pt idx="133">
                  <c:v>24</c:v>
                </c:pt>
                <c:pt idx="134">
                  <c:v>26</c:v>
                </c:pt>
                <c:pt idx="135">
                  <c:v>28</c:v>
                </c:pt>
                <c:pt idx="136">
                  <c:v>30</c:v>
                </c:pt>
                <c:pt idx="137">
                  <c:v>32</c:v>
                </c:pt>
                <c:pt idx="138">
                  <c:v>34</c:v>
                </c:pt>
                <c:pt idx="139">
                  <c:v>36</c:v>
                </c:pt>
                <c:pt idx="140">
                  <c:v>38</c:v>
                </c:pt>
                <c:pt idx="141">
                  <c:v>40</c:v>
                </c:pt>
                <c:pt idx="142">
                  <c:v>52</c:v>
                </c:pt>
                <c:pt idx="143">
                  <c:v>84</c:v>
                </c:pt>
                <c:pt idx="144">
                  <c:v>44</c:v>
                </c:pt>
                <c:pt idx="145">
                  <c:v>72</c:v>
                </c:pt>
                <c:pt idx="146">
                  <c:v>61</c:v>
                </c:pt>
                <c:pt idx="147">
                  <c:v>57</c:v>
                </c:pt>
                <c:pt idx="148">
                  <c:v>59</c:v>
                </c:pt>
                <c:pt idx="149">
                  <c:v>38.5</c:v>
                </c:pt>
                <c:pt idx="150">
                  <c:v>58.5</c:v>
                </c:pt>
                <c:pt idx="151">
                  <c:v>45</c:v>
                </c:pt>
                <c:pt idx="152">
                  <c:v>38</c:v>
                </c:pt>
                <c:pt idx="153">
                  <c:v>40</c:v>
                </c:pt>
                <c:pt idx="154">
                  <c:v>42.5</c:v>
                </c:pt>
                <c:pt idx="155">
                  <c:v>47.5</c:v>
                </c:pt>
                <c:pt idx="156">
                  <c:v>63</c:v>
                </c:pt>
                <c:pt idx="157">
                  <c:v>49</c:v>
                </c:pt>
                <c:pt idx="158">
                  <c:v>52.5</c:v>
                </c:pt>
                <c:pt idx="159">
                  <c:v>56</c:v>
                </c:pt>
                <c:pt idx="160">
                  <c:v>79.5</c:v>
                </c:pt>
                <c:pt idx="161">
                  <c:v>76.3</c:v>
                </c:pt>
                <c:pt idx="162">
                  <c:v>56.5</c:v>
                </c:pt>
                <c:pt idx="163">
                  <c:v>47.5</c:v>
                </c:pt>
                <c:pt idx="164">
                  <c:v>39.1</c:v>
                </c:pt>
                <c:pt idx="165">
                  <c:v>56.3</c:v>
                </c:pt>
                <c:pt idx="166">
                  <c:v>62.8</c:v>
                </c:pt>
                <c:pt idx="167">
                  <c:v>54</c:v>
                </c:pt>
                <c:pt idx="168">
                  <c:v>48.5</c:v>
                </c:pt>
                <c:pt idx="169">
                  <c:v>53.8</c:v>
                </c:pt>
                <c:pt idx="170">
                  <c:v>48.5</c:v>
                </c:pt>
                <c:pt idx="171">
                  <c:v>47.6</c:v>
                </c:pt>
                <c:pt idx="172">
                  <c:v>44.7</c:v>
                </c:pt>
                <c:pt idx="173">
                  <c:v>37.299999999999997</c:v>
                </c:pt>
                <c:pt idx="174">
                  <c:v>38</c:v>
                </c:pt>
                <c:pt idx="175">
                  <c:v>20</c:v>
                </c:pt>
                <c:pt idx="176">
                  <c:v>22</c:v>
                </c:pt>
                <c:pt idx="177">
                  <c:v>24</c:v>
                </c:pt>
                <c:pt idx="178">
                  <c:v>26</c:v>
                </c:pt>
                <c:pt idx="179">
                  <c:v>28</c:v>
                </c:pt>
                <c:pt idx="180">
                  <c:v>30</c:v>
                </c:pt>
                <c:pt idx="181">
                  <c:v>32</c:v>
                </c:pt>
                <c:pt idx="182">
                  <c:v>34</c:v>
                </c:pt>
                <c:pt idx="183">
                  <c:v>36</c:v>
                </c:pt>
                <c:pt idx="184">
                  <c:v>38</c:v>
                </c:pt>
                <c:pt idx="185">
                  <c:v>40</c:v>
                </c:pt>
                <c:pt idx="186">
                  <c:v>42</c:v>
                </c:pt>
                <c:pt idx="187">
                  <c:v>44</c:v>
                </c:pt>
                <c:pt idx="188">
                  <c:v>10.4</c:v>
                </c:pt>
                <c:pt idx="189">
                  <c:v>12.1</c:v>
                </c:pt>
                <c:pt idx="190">
                  <c:v>14.5</c:v>
                </c:pt>
                <c:pt idx="191">
                  <c:v>18.7</c:v>
                </c:pt>
                <c:pt idx="192">
                  <c:v>22.6</c:v>
                </c:pt>
                <c:pt idx="193">
                  <c:v>26.1</c:v>
                </c:pt>
                <c:pt idx="194">
                  <c:v>18.8</c:v>
                </c:pt>
                <c:pt idx="195">
                  <c:v>26.1</c:v>
                </c:pt>
                <c:pt idx="196">
                  <c:v>30.5</c:v>
                </c:pt>
                <c:pt idx="197">
                  <c:v>32.1</c:v>
                </c:pt>
              </c:numCache>
            </c:numRef>
          </c:xVal>
          <c:yVal>
            <c:numRef>
              <c:f>'##KrRKI_alle'!$I$4:$I$201</c:f>
              <c:numCache>
                <c:formatCode>General</c:formatCode>
                <c:ptCount val="198"/>
                <c:pt idx="0">
                  <c:v>0.92749999999999999</c:v>
                </c:pt>
                <c:pt idx="1">
                  <c:v>0.91749999999999998</c:v>
                </c:pt>
                <c:pt idx="2">
                  <c:v>0.89</c:v>
                </c:pt>
                <c:pt idx="3">
                  <c:v>0.63249999999999995</c:v>
                </c:pt>
                <c:pt idx="4">
                  <c:v>0.60499999999999998</c:v>
                </c:pt>
                <c:pt idx="5">
                  <c:v>0.54</c:v>
                </c:pt>
                <c:pt idx="6">
                  <c:v>1.1325000000000001</c:v>
                </c:pt>
                <c:pt idx="7">
                  <c:v>0.56999999999999995</c:v>
                </c:pt>
                <c:pt idx="8">
                  <c:v>1.06</c:v>
                </c:pt>
                <c:pt idx="9">
                  <c:v>1.06</c:v>
                </c:pt>
                <c:pt idx="10">
                  <c:v>1.165</c:v>
                </c:pt>
                <c:pt idx="11">
                  <c:v>0.77749999999999997</c:v>
                </c:pt>
                <c:pt idx="12">
                  <c:v>1.0375000000000001</c:v>
                </c:pt>
                <c:pt idx="13">
                  <c:v>0.67500000000000004</c:v>
                </c:pt>
                <c:pt idx="14">
                  <c:v>0.73750000000000004</c:v>
                </c:pt>
                <c:pt idx="15">
                  <c:v>0.70750000000000002</c:v>
                </c:pt>
                <c:pt idx="16">
                  <c:v>0.97</c:v>
                </c:pt>
                <c:pt idx="17">
                  <c:v>1.0125</c:v>
                </c:pt>
                <c:pt idx="18">
                  <c:v>0.52500000000000002</c:v>
                </c:pt>
                <c:pt idx="19">
                  <c:v>0.94</c:v>
                </c:pt>
                <c:pt idx="20">
                  <c:v>1.27</c:v>
                </c:pt>
                <c:pt idx="21">
                  <c:v>1.2424999999999999</c:v>
                </c:pt>
                <c:pt idx="22">
                  <c:v>1.075</c:v>
                </c:pt>
                <c:pt idx="23">
                  <c:v>0.92</c:v>
                </c:pt>
                <c:pt idx="24">
                  <c:v>1.46</c:v>
                </c:pt>
                <c:pt idx="25">
                  <c:v>1.4775</c:v>
                </c:pt>
                <c:pt idx="26">
                  <c:v>1.585</c:v>
                </c:pt>
                <c:pt idx="27">
                  <c:v>1.66</c:v>
                </c:pt>
                <c:pt idx="28">
                  <c:v>1.6425000000000001</c:v>
                </c:pt>
                <c:pt idx="29">
                  <c:v>1.2875000000000001</c:v>
                </c:pt>
                <c:pt idx="30">
                  <c:v>1.49</c:v>
                </c:pt>
                <c:pt idx="31">
                  <c:v>1.5449999999999999</c:v>
                </c:pt>
                <c:pt idx="32">
                  <c:v>1.3525</c:v>
                </c:pt>
                <c:pt idx="33">
                  <c:v>2.33</c:v>
                </c:pt>
                <c:pt idx="34">
                  <c:v>1.5974999999999999</c:v>
                </c:pt>
                <c:pt idx="35">
                  <c:v>0.93</c:v>
                </c:pt>
                <c:pt idx="36">
                  <c:v>1.9125000000000001</c:v>
                </c:pt>
                <c:pt idx="37">
                  <c:v>0.88249999999999995</c:v>
                </c:pt>
                <c:pt idx="38">
                  <c:v>1.2475000000000001</c:v>
                </c:pt>
                <c:pt idx="39">
                  <c:v>1.3025</c:v>
                </c:pt>
                <c:pt idx="40">
                  <c:v>1.0874999999999999</c:v>
                </c:pt>
                <c:pt idx="41">
                  <c:v>2.08</c:v>
                </c:pt>
                <c:pt idx="42">
                  <c:v>2.4</c:v>
                </c:pt>
                <c:pt idx="43">
                  <c:v>1.7949999999999999</c:v>
                </c:pt>
                <c:pt idx="44">
                  <c:v>1.7224999999999999</c:v>
                </c:pt>
                <c:pt idx="45">
                  <c:v>1.47</c:v>
                </c:pt>
                <c:pt idx="46">
                  <c:v>2.2349999999999999</c:v>
                </c:pt>
                <c:pt idx="47">
                  <c:v>2.0125000000000002</c:v>
                </c:pt>
                <c:pt idx="48">
                  <c:v>2.1549999999999998</c:v>
                </c:pt>
                <c:pt idx="49">
                  <c:v>2.2799999999999998</c:v>
                </c:pt>
                <c:pt idx="50">
                  <c:v>2.4275000000000002</c:v>
                </c:pt>
                <c:pt idx="51">
                  <c:v>1.8025</c:v>
                </c:pt>
                <c:pt idx="52">
                  <c:v>2.4424999999999999</c:v>
                </c:pt>
                <c:pt idx="53">
                  <c:v>2.1425000000000001</c:v>
                </c:pt>
                <c:pt idx="54">
                  <c:v>1.6475</c:v>
                </c:pt>
                <c:pt idx="55">
                  <c:v>2.6549999999999998</c:v>
                </c:pt>
                <c:pt idx="56">
                  <c:v>1.9424999999999999</c:v>
                </c:pt>
                <c:pt idx="57">
                  <c:v>1.9550000000000001</c:v>
                </c:pt>
                <c:pt idx="58">
                  <c:v>2.3574999999999999</c:v>
                </c:pt>
                <c:pt idx="59">
                  <c:v>2.1375000000000002</c:v>
                </c:pt>
                <c:pt idx="60">
                  <c:v>2.99</c:v>
                </c:pt>
                <c:pt idx="61">
                  <c:v>2.835</c:v>
                </c:pt>
                <c:pt idx="62">
                  <c:v>2.9550000000000001</c:v>
                </c:pt>
                <c:pt idx="63">
                  <c:v>3.2675000000000001</c:v>
                </c:pt>
                <c:pt idx="64">
                  <c:v>3.4649999999999999</c:v>
                </c:pt>
                <c:pt idx="65">
                  <c:v>3.0724999999999998</c:v>
                </c:pt>
                <c:pt idx="66">
                  <c:v>2.6475</c:v>
                </c:pt>
                <c:pt idx="67">
                  <c:v>2.5150000000000001</c:v>
                </c:pt>
                <c:pt idx="68">
                  <c:v>2.415</c:v>
                </c:pt>
                <c:pt idx="69">
                  <c:v>2.0325000000000002</c:v>
                </c:pt>
                <c:pt idx="70">
                  <c:v>2.4275000000000002</c:v>
                </c:pt>
                <c:pt idx="71">
                  <c:v>3.11</c:v>
                </c:pt>
                <c:pt idx="72">
                  <c:v>1.2575000000000001</c:v>
                </c:pt>
                <c:pt idx="73">
                  <c:v>1.91</c:v>
                </c:pt>
                <c:pt idx="74">
                  <c:v>4.415</c:v>
                </c:pt>
                <c:pt idx="75">
                  <c:v>2.3325</c:v>
                </c:pt>
                <c:pt idx="76">
                  <c:v>1.9650000000000001</c:v>
                </c:pt>
                <c:pt idx="77">
                  <c:v>1.9175</c:v>
                </c:pt>
                <c:pt idx="78">
                  <c:v>2.7174999999999998</c:v>
                </c:pt>
                <c:pt idx="79">
                  <c:v>2.8624999999999998</c:v>
                </c:pt>
                <c:pt idx="80">
                  <c:v>3.46</c:v>
                </c:pt>
                <c:pt idx="81">
                  <c:v>2.2599999999999998</c:v>
                </c:pt>
                <c:pt idx="82">
                  <c:v>3.085</c:v>
                </c:pt>
                <c:pt idx="83">
                  <c:v>3.6724999999999999</c:v>
                </c:pt>
                <c:pt idx="84">
                  <c:v>3.1724999999999999</c:v>
                </c:pt>
                <c:pt idx="85">
                  <c:v>3.0924999999999998</c:v>
                </c:pt>
                <c:pt idx="86">
                  <c:v>2.7050000000000001</c:v>
                </c:pt>
                <c:pt idx="87">
                  <c:v>2.7925</c:v>
                </c:pt>
                <c:pt idx="88">
                  <c:v>1.7124999999999999</c:v>
                </c:pt>
                <c:pt idx="89">
                  <c:v>2.5874999999999999</c:v>
                </c:pt>
                <c:pt idx="90">
                  <c:v>1.9975000000000001</c:v>
                </c:pt>
                <c:pt idx="91">
                  <c:v>3.0750000000000002</c:v>
                </c:pt>
                <c:pt idx="92">
                  <c:v>2.0449999999999999</c:v>
                </c:pt>
                <c:pt idx="93">
                  <c:v>2.1175000000000002</c:v>
                </c:pt>
                <c:pt idx="94">
                  <c:v>4.6224999999999996</c:v>
                </c:pt>
                <c:pt idx="95">
                  <c:v>3.66</c:v>
                </c:pt>
                <c:pt idx="96">
                  <c:v>2.7349999999999999</c:v>
                </c:pt>
                <c:pt idx="97">
                  <c:v>3.0425</c:v>
                </c:pt>
                <c:pt idx="98">
                  <c:v>3.2650000000000001</c:v>
                </c:pt>
                <c:pt idx="99">
                  <c:v>3.75</c:v>
                </c:pt>
                <c:pt idx="100">
                  <c:v>3.7949999999999999</c:v>
                </c:pt>
                <c:pt idx="101">
                  <c:v>3.37</c:v>
                </c:pt>
                <c:pt idx="102">
                  <c:v>3.9775</c:v>
                </c:pt>
                <c:pt idx="103">
                  <c:v>3.0274999999999999</c:v>
                </c:pt>
                <c:pt idx="104">
                  <c:v>0.50462650440403201</c:v>
                </c:pt>
                <c:pt idx="105">
                  <c:v>0.7136496464611084</c:v>
                </c:pt>
                <c:pt idx="106">
                  <c:v>0.87403874447366325</c:v>
                </c:pt>
                <c:pt idx="107">
                  <c:v>1.0249012754438884</c:v>
                </c:pt>
                <c:pt idx="108">
                  <c:v>1.1562445770562217</c:v>
                </c:pt>
                <c:pt idx="109">
                  <c:v>1.2741194683142285</c:v>
                </c:pt>
                <c:pt idx="110">
                  <c:v>1.381976597885342</c:v>
                </c:pt>
                <c:pt idx="111">
                  <c:v>1.4820047957642228</c:v>
                </c:pt>
                <c:pt idx="112">
                  <c:v>1.5756957549709802</c:v>
                </c:pt>
                <c:pt idx="113">
                  <c:v>1.6736567743768009</c:v>
                </c:pt>
                <c:pt idx="114">
                  <c:v>1.7751810818109595</c:v>
                </c:pt>
                <c:pt idx="115">
                  <c:v>1.8712051592547776</c:v>
                </c:pt>
                <c:pt idx="116">
                  <c:v>1.9625365277680482</c:v>
                </c:pt>
                <c:pt idx="117">
                  <c:v>2.0575523046193545</c:v>
                </c:pt>
                <c:pt idx="118">
                  <c:v>2.1483699284957805</c:v>
                </c:pt>
                <c:pt idx="119">
                  <c:v>2.2426092396366988</c:v>
                </c:pt>
                <c:pt idx="120">
                  <c:v>2.3330450175131259</c:v>
                </c:pt>
                <c:pt idx="121">
                  <c:v>2.4266711549775604</c:v>
                </c:pt>
                <c:pt idx="122">
                  <c:v>2.57927831403306</c:v>
                </c:pt>
                <c:pt idx="123">
                  <c:v>2.6221162334209898</c:v>
                </c:pt>
                <c:pt idx="124">
                  <c:v>2.7291851048803379</c:v>
                </c:pt>
                <c:pt idx="125">
                  <c:v>2.843425945768288</c:v>
                </c:pt>
                <c:pt idx="126">
                  <c:v>2.9693743191606883</c:v>
                </c:pt>
                <c:pt idx="127">
                  <c:v>3.110726690017501</c:v>
                </c:pt>
                <c:pt idx="128">
                  <c:v>1.2865501965161374</c:v>
                </c:pt>
                <c:pt idx="129">
                  <c:v>1.358748446131949</c:v>
                </c:pt>
                <c:pt idx="130">
                  <c:v>1.460368527951557</c:v>
                </c:pt>
                <c:pt idx="131">
                  <c:v>1.5655625581928012</c:v>
                </c:pt>
                <c:pt idx="132">
                  <c:v>1.6831393249032407</c:v>
                </c:pt>
                <c:pt idx="133">
                  <c:v>1.8194567365868921</c:v>
                </c:pt>
                <c:pt idx="134">
                  <c:v>1.9706294962377493</c:v>
                </c:pt>
                <c:pt idx="135">
                  <c:v>2.1260292528114064</c:v>
                </c:pt>
                <c:pt idx="136">
                  <c:v>2.2847936741452535</c:v>
                </c:pt>
                <c:pt idx="137">
                  <c:v>2.4332208866065792</c:v>
                </c:pt>
                <c:pt idx="138">
                  <c:v>2.5606998370340261</c:v>
                </c:pt>
                <c:pt idx="139">
                  <c:v>2.6821266613927222</c:v>
                </c:pt>
                <c:pt idx="140">
                  <c:v>2.7811742545669649</c:v>
                </c:pt>
                <c:pt idx="141">
                  <c:v>2.8545985858444336</c:v>
                </c:pt>
                <c:pt idx="142">
                  <c:v>4</c:v>
                </c:pt>
                <c:pt idx="143">
                  <c:v>4.5</c:v>
                </c:pt>
                <c:pt idx="144">
                  <c:v>4</c:v>
                </c:pt>
                <c:pt idx="145">
                  <c:v>5.5</c:v>
                </c:pt>
                <c:pt idx="146">
                  <c:v>4.6500000000000004</c:v>
                </c:pt>
                <c:pt idx="147">
                  <c:v>4.7750000000000004</c:v>
                </c:pt>
                <c:pt idx="148">
                  <c:v>4</c:v>
                </c:pt>
                <c:pt idx="149">
                  <c:v>3.6</c:v>
                </c:pt>
                <c:pt idx="150">
                  <c:v>5.9749999999999996</c:v>
                </c:pt>
                <c:pt idx="151">
                  <c:v>3.4750000000000001</c:v>
                </c:pt>
                <c:pt idx="152">
                  <c:v>3.4750000000000001</c:v>
                </c:pt>
                <c:pt idx="153">
                  <c:v>2.7250000000000001</c:v>
                </c:pt>
                <c:pt idx="154">
                  <c:v>3.9750000000000001</c:v>
                </c:pt>
                <c:pt idx="155">
                  <c:v>3.35</c:v>
                </c:pt>
                <c:pt idx="156">
                  <c:v>4.9249999999999998</c:v>
                </c:pt>
                <c:pt idx="157">
                  <c:v>4.45</c:v>
                </c:pt>
                <c:pt idx="158">
                  <c:v>4.95</c:v>
                </c:pt>
                <c:pt idx="159">
                  <c:v>3.7</c:v>
                </c:pt>
                <c:pt idx="160">
                  <c:v>5.4249999999999998</c:v>
                </c:pt>
                <c:pt idx="161">
                  <c:v>4.7539479391838348</c:v>
                </c:pt>
                <c:pt idx="162">
                  <c:v>3.5682497392916686</c:v>
                </c:pt>
                <c:pt idx="163">
                  <c:v>3.1915395911008293</c:v>
                </c:pt>
                <c:pt idx="164">
                  <c:v>1.7841248696458343</c:v>
                </c:pt>
                <c:pt idx="165">
                  <c:v>5.5</c:v>
                </c:pt>
                <c:pt idx="166">
                  <c:v>5.5</c:v>
                </c:pt>
                <c:pt idx="167">
                  <c:v>4</c:v>
                </c:pt>
                <c:pt idx="168">
                  <c:v>4.5</c:v>
                </c:pt>
                <c:pt idx="169">
                  <c:v>4.5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1.5</c:v>
                </c:pt>
                <c:pt idx="175">
                  <c:v>1.2865501965161374</c:v>
                </c:pt>
                <c:pt idx="176">
                  <c:v>1.438406847937898</c:v>
                </c:pt>
                <c:pt idx="177">
                  <c:v>1.5857642008987169</c:v>
                </c:pt>
                <c:pt idx="178">
                  <c:v>1.7297725082008999</c:v>
                </c:pt>
                <c:pt idx="179">
                  <c:v>1.8712051592547776</c:v>
                </c:pt>
                <c:pt idx="180">
                  <c:v>2.0106057680545288</c:v>
                </c:pt>
                <c:pt idx="181">
                  <c:v>2.1631355313298619</c:v>
                </c:pt>
                <c:pt idx="182">
                  <c:v>2.326213245840639</c:v>
                </c:pt>
                <c:pt idx="183">
                  <c:v>2.5104851615652017</c:v>
                </c:pt>
                <c:pt idx="184">
                  <c:v>2.6939683377854364</c:v>
                </c:pt>
                <c:pt idx="185">
                  <c:v>2.8878571671769566</c:v>
                </c:pt>
                <c:pt idx="186">
                  <c:v>3.0798757455905528</c:v>
                </c:pt>
                <c:pt idx="187">
                  <c:v>3.2849208729633812</c:v>
                </c:pt>
                <c:pt idx="188">
                  <c:v>1.2549999999999999</c:v>
                </c:pt>
                <c:pt idx="189">
                  <c:v>1.345</c:v>
                </c:pt>
                <c:pt idx="190">
                  <c:v>1.64</c:v>
                </c:pt>
                <c:pt idx="191">
                  <c:v>1.64</c:v>
                </c:pt>
                <c:pt idx="192">
                  <c:v>2.2549999999999999</c:v>
                </c:pt>
                <c:pt idx="193">
                  <c:v>2.0099999999999998</c:v>
                </c:pt>
                <c:pt idx="194">
                  <c:v>1.7749999999999999</c:v>
                </c:pt>
                <c:pt idx="195">
                  <c:v>2.0249999999999999</c:v>
                </c:pt>
                <c:pt idx="196">
                  <c:v>2.0550000000000002</c:v>
                </c:pt>
                <c:pt idx="197">
                  <c:v>2.4049999999999998</c:v>
                </c:pt>
              </c:numCache>
            </c:numRef>
          </c:yVal>
          <c:smooth val="0"/>
        </c:ser>
        <c:ser>
          <c:idx val="0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'##KrRKI_alle'!$V$38:$V$96</c:f>
              <c:numCache>
                <c:formatCode>General</c:formatCode>
                <c:ptCount val="5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</c:numCache>
            </c:numRef>
          </c:xVal>
          <c:yVal>
            <c:numRef>
              <c:f>'##KrRKI_alle'!$W$38:$W$96</c:f>
              <c:numCache>
                <c:formatCode>General</c:formatCode>
                <c:ptCount val="59"/>
                <c:pt idx="0">
                  <c:v>0.64634146341463417</c:v>
                </c:pt>
                <c:pt idx="1">
                  <c:v>0.7857142857142857</c:v>
                </c:pt>
                <c:pt idx="2">
                  <c:v>0.91860465116279078</c:v>
                </c:pt>
                <c:pt idx="3">
                  <c:v>1.0454545454545454</c:v>
                </c:pt>
                <c:pt idx="4">
                  <c:v>1.1666666666666665</c:v>
                </c:pt>
                <c:pt idx="5">
                  <c:v>1.2826086956521738</c:v>
                </c:pt>
                <c:pt idx="6">
                  <c:v>1.3936170212765957</c:v>
                </c:pt>
                <c:pt idx="7">
                  <c:v>1.5</c:v>
                </c:pt>
                <c:pt idx="8">
                  <c:v>1.6020408163265305</c:v>
                </c:pt>
                <c:pt idx="9">
                  <c:v>1.7</c:v>
                </c:pt>
                <c:pt idx="10">
                  <c:v>1.7941176470588236</c:v>
                </c:pt>
                <c:pt idx="11">
                  <c:v>1.8846153846153846</c:v>
                </c:pt>
                <c:pt idx="12">
                  <c:v>1.9716981132075471</c:v>
                </c:pt>
                <c:pt idx="13">
                  <c:v>2.0555555555555554</c:v>
                </c:pt>
                <c:pt idx="14">
                  <c:v>2.1363636363636367</c:v>
                </c:pt>
                <c:pt idx="15">
                  <c:v>2.2142857142857144</c:v>
                </c:pt>
                <c:pt idx="16">
                  <c:v>2.2894736842105265</c:v>
                </c:pt>
                <c:pt idx="17">
                  <c:v>2.3620689655172411</c:v>
                </c:pt>
                <c:pt idx="18">
                  <c:v>2.4322033898305087</c:v>
                </c:pt>
                <c:pt idx="19">
                  <c:v>2.5</c:v>
                </c:pt>
                <c:pt idx="20">
                  <c:v>2.5655737704918034</c:v>
                </c:pt>
                <c:pt idx="21">
                  <c:v>2.629032258064516</c:v>
                </c:pt>
                <c:pt idx="22">
                  <c:v>2.6904761904761907</c:v>
                </c:pt>
                <c:pt idx="23">
                  <c:v>2.75</c:v>
                </c:pt>
                <c:pt idx="24">
                  <c:v>2.8076923076923075</c:v>
                </c:pt>
                <c:pt idx="25">
                  <c:v>2.8636363636363638</c:v>
                </c:pt>
                <c:pt idx="26">
                  <c:v>2.9179104477611939</c:v>
                </c:pt>
                <c:pt idx="27">
                  <c:v>2.9705882352941178</c:v>
                </c:pt>
                <c:pt idx="28">
                  <c:v>3.0217391304347827</c:v>
                </c:pt>
                <c:pt idx="29">
                  <c:v>3.0714285714285716</c:v>
                </c:pt>
                <c:pt idx="30">
                  <c:v>3.119718309859155</c:v>
                </c:pt>
                <c:pt idx="31">
                  <c:v>3.1666666666666665</c:v>
                </c:pt>
                <c:pt idx="32">
                  <c:v>3.2123287671232879</c:v>
                </c:pt>
                <c:pt idx="33">
                  <c:v>3.2567567567567566</c:v>
                </c:pt>
                <c:pt idx="34">
                  <c:v>3.3</c:v>
                </c:pt>
                <c:pt idx="35">
                  <c:v>3.3421052631578947</c:v>
                </c:pt>
                <c:pt idx="36">
                  <c:v>3.383116883116883</c:v>
                </c:pt>
                <c:pt idx="37">
                  <c:v>3.4230769230769229</c:v>
                </c:pt>
                <c:pt idx="38">
                  <c:v>3.462025316455696</c:v>
                </c:pt>
                <c:pt idx="39">
                  <c:v>3.5</c:v>
                </c:pt>
                <c:pt idx="40">
                  <c:v>3.5370370370370372</c:v>
                </c:pt>
                <c:pt idx="41">
                  <c:v>3.5731707317073171</c:v>
                </c:pt>
                <c:pt idx="42">
                  <c:v>3.6084337349397591</c:v>
                </c:pt>
                <c:pt idx="43">
                  <c:v>3.6428571428571428</c:v>
                </c:pt>
                <c:pt idx="44">
                  <c:v>3.6764705882352939</c:v>
                </c:pt>
                <c:pt idx="45">
                  <c:v>3.7093023255813953</c:v>
                </c:pt>
                <c:pt idx="46">
                  <c:v>3.7413793103448274</c:v>
                </c:pt>
                <c:pt idx="47">
                  <c:v>3.7727272727272729</c:v>
                </c:pt>
                <c:pt idx="48">
                  <c:v>3.803370786516854</c:v>
                </c:pt>
                <c:pt idx="49">
                  <c:v>3.8333333333333335</c:v>
                </c:pt>
                <c:pt idx="50">
                  <c:v>3.8626373626373627</c:v>
                </c:pt>
                <c:pt idx="51">
                  <c:v>3.8913043478260869</c:v>
                </c:pt>
                <c:pt idx="52">
                  <c:v>3.9193548387096775</c:v>
                </c:pt>
                <c:pt idx="53">
                  <c:v>3.9468085106382977</c:v>
                </c:pt>
                <c:pt idx="54">
                  <c:v>3.9736842105263159</c:v>
                </c:pt>
                <c:pt idx="55">
                  <c:v>4</c:v>
                </c:pt>
                <c:pt idx="56">
                  <c:v>4.0257731958762886</c:v>
                </c:pt>
                <c:pt idx="57">
                  <c:v>4.0510204081632653</c:v>
                </c:pt>
                <c:pt idx="58">
                  <c:v>4.0757575757575761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'##KrRKI_alle'!$V$38:$V$96</c:f>
              <c:numCache>
                <c:formatCode>General</c:formatCode>
                <c:ptCount val="5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</c:numCache>
            </c:numRef>
          </c:xVal>
          <c:yVal>
            <c:numRef>
              <c:f>'##KrRKI_alle'!$X$38:$X$96</c:f>
              <c:numCache>
                <c:formatCode>General</c:formatCode>
                <c:ptCount val="59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261824"/>
        <c:axId val="218160448"/>
      </c:scatterChart>
      <c:valAx>
        <c:axId val="29426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Brusthöhendurchmesser in cm</a:t>
                </a:r>
              </a:p>
            </c:rich>
          </c:tx>
          <c:layout>
            <c:manualLayout>
              <c:xMode val="edge"/>
              <c:yMode val="edge"/>
              <c:x val="0.38267085400452111"/>
              <c:y val="0.889791059582119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160448"/>
        <c:crosses val="autoZero"/>
        <c:crossBetween val="midCat"/>
      </c:valAx>
      <c:valAx>
        <c:axId val="218160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Kronenradius in m</a:t>
                </a:r>
              </a:p>
            </c:rich>
          </c:tx>
          <c:layout>
            <c:manualLayout>
              <c:xMode val="edge"/>
              <c:yMode val="edge"/>
              <c:x val="2.0809855415471912E-2"/>
              <c:y val="0.33071878810424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2618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KronenRadius-BHD-Relationen mit Solitären</a:t>
            </a:r>
          </a:p>
        </c:rich>
      </c:tx>
      <c:layout>
        <c:manualLayout>
          <c:xMode val="edge"/>
          <c:yMode val="edge"/>
          <c:x val="0.30702698346917162"/>
          <c:y val="3.18191362443330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142850692410076E-2"/>
          <c:y val="0.14545919301824284"/>
          <c:w val="0.88708873256972642"/>
          <c:h val="0.66365756814573296"/>
        </c:manualLayout>
      </c:layout>
      <c:scatterChart>
        <c:scatterStyle val="lineMarker"/>
        <c:varyColors val="0"/>
        <c:ser>
          <c:idx val="6"/>
          <c:order val="0"/>
          <c:tx>
            <c:v>alle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7.0214790293626317E-2"/>
                  <c:y val="-0.183489800350578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2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 val="-0.47437714408423054"/>
                  <c:y val="-0.1191083259119270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2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'##KrRKI_alle'!$F$4:$F$211</c:f>
              <c:numCache>
                <c:formatCode>General</c:formatCode>
                <c:ptCount val="208"/>
                <c:pt idx="0">
                  <c:v>4.5</c:v>
                </c:pt>
                <c:pt idx="1">
                  <c:v>5</c:v>
                </c:pt>
                <c:pt idx="2">
                  <c:v>5</c:v>
                </c:pt>
                <c:pt idx="3">
                  <c:v>3.5</c:v>
                </c:pt>
                <c:pt idx="4">
                  <c:v>3.5</c:v>
                </c:pt>
                <c:pt idx="5">
                  <c:v>5</c:v>
                </c:pt>
                <c:pt idx="6">
                  <c:v>6</c:v>
                </c:pt>
                <c:pt idx="7">
                  <c:v>4.5</c:v>
                </c:pt>
                <c:pt idx="8">
                  <c:v>5</c:v>
                </c:pt>
                <c:pt idx="9">
                  <c:v>6</c:v>
                </c:pt>
                <c:pt idx="10">
                  <c:v>5.5</c:v>
                </c:pt>
                <c:pt idx="11">
                  <c:v>5.5</c:v>
                </c:pt>
                <c:pt idx="12">
                  <c:v>6.25</c:v>
                </c:pt>
                <c:pt idx="13">
                  <c:v>4</c:v>
                </c:pt>
                <c:pt idx="14">
                  <c:v>5</c:v>
                </c:pt>
                <c:pt idx="15">
                  <c:v>6.25</c:v>
                </c:pt>
                <c:pt idx="16">
                  <c:v>6.75</c:v>
                </c:pt>
                <c:pt idx="17">
                  <c:v>6.75</c:v>
                </c:pt>
                <c:pt idx="18">
                  <c:v>5</c:v>
                </c:pt>
                <c:pt idx="19">
                  <c:v>6.5</c:v>
                </c:pt>
                <c:pt idx="20">
                  <c:v>13.75</c:v>
                </c:pt>
                <c:pt idx="21">
                  <c:v>12.5</c:v>
                </c:pt>
                <c:pt idx="22">
                  <c:v>13.5</c:v>
                </c:pt>
                <c:pt idx="23">
                  <c:v>10.25</c:v>
                </c:pt>
                <c:pt idx="24">
                  <c:v>13.5</c:v>
                </c:pt>
                <c:pt idx="25">
                  <c:v>13.5</c:v>
                </c:pt>
                <c:pt idx="26">
                  <c:v>13.25</c:v>
                </c:pt>
                <c:pt idx="27">
                  <c:v>16.75</c:v>
                </c:pt>
                <c:pt idx="28">
                  <c:v>15.5</c:v>
                </c:pt>
                <c:pt idx="29">
                  <c:v>14.25</c:v>
                </c:pt>
                <c:pt idx="30">
                  <c:v>11.75</c:v>
                </c:pt>
                <c:pt idx="31">
                  <c:v>13.75</c:v>
                </c:pt>
                <c:pt idx="32">
                  <c:v>12</c:v>
                </c:pt>
                <c:pt idx="33">
                  <c:v>16.5</c:v>
                </c:pt>
                <c:pt idx="34">
                  <c:v>13</c:v>
                </c:pt>
                <c:pt idx="35">
                  <c:v>9.75</c:v>
                </c:pt>
                <c:pt idx="36">
                  <c:v>16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17</c:v>
                </c:pt>
                <c:pt idx="41">
                  <c:v>22.75</c:v>
                </c:pt>
                <c:pt idx="42">
                  <c:v>26.25</c:v>
                </c:pt>
                <c:pt idx="43">
                  <c:v>23.5</c:v>
                </c:pt>
                <c:pt idx="44">
                  <c:v>19</c:v>
                </c:pt>
                <c:pt idx="45">
                  <c:v>20</c:v>
                </c:pt>
                <c:pt idx="46">
                  <c:v>23.75</c:v>
                </c:pt>
                <c:pt idx="47">
                  <c:v>19.75</c:v>
                </c:pt>
                <c:pt idx="48">
                  <c:v>23</c:v>
                </c:pt>
                <c:pt idx="49">
                  <c:v>17.75</c:v>
                </c:pt>
                <c:pt idx="50">
                  <c:v>25.5</c:v>
                </c:pt>
                <c:pt idx="51">
                  <c:v>20.25</c:v>
                </c:pt>
                <c:pt idx="52">
                  <c:v>20.5</c:v>
                </c:pt>
                <c:pt idx="53">
                  <c:v>21.75</c:v>
                </c:pt>
                <c:pt idx="54">
                  <c:v>21.5</c:v>
                </c:pt>
                <c:pt idx="55">
                  <c:v>24.5</c:v>
                </c:pt>
                <c:pt idx="56">
                  <c:v>22.5</c:v>
                </c:pt>
                <c:pt idx="57">
                  <c:v>26.25</c:v>
                </c:pt>
                <c:pt idx="58">
                  <c:v>21.75</c:v>
                </c:pt>
                <c:pt idx="59">
                  <c:v>21.75</c:v>
                </c:pt>
                <c:pt idx="60">
                  <c:v>35.75</c:v>
                </c:pt>
                <c:pt idx="61">
                  <c:v>32.5</c:v>
                </c:pt>
                <c:pt idx="62">
                  <c:v>31.5</c:v>
                </c:pt>
                <c:pt idx="63">
                  <c:v>34.25</c:v>
                </c:pt>
                <c:pt idx="64">
                  <c:v>33</c:v>
                </c:pt>
                <c:pt idx="65">
                  <c:v>28.5</c:v>
                </c:pt>
                <c:pt idx="66">
                  <c:v>25.25</c:v>
                </c:pt>
                <c:pt idx="67">
                  <c:v>26.25</c:v>
                </c:pt>
                <c:pt idx="68">
                  <c:v>29.75</c:v>
                </c:pt>
                <c:pt idx="69">
                  <c:v>26.5</c:v>
                </c:pt>
                <c:pt idx="70">
                  <c:v>30.75</c:v>
                </c:pt>
                <c:pt idx="71">
                  <c:v>39</c:v>
                </c:pt>
                <c:pt idx="72">
                  <c:v>22</c:v>
                </c:pt>
                <c:pt idx="73">
                  <c:v>30.75</c:v>
                </c:pt>
                <c:pt idx="74">
                  <c:v>50</c:v>
                </c:pt>
                <c:pt idx="75">
                  <c:v>34</c:v>
                </c:pt>
                <c:pt idx="76">
                  <c:v>37.75</c:v>
                </c:pt>
                <c:pt idx="77">
                  <c:v>32.75</c:v>
                </c:pt>
                <c:pt idx="78">
                  <c:v>35</c:v>
                </c:pt>
                <c:pt idx="79">
                  <c:v>42.5</c:v>
                </c:pt>
                <c:pt idx="80">
                  <c:v>38.25</c:v>
                </c:pt>
                <c:pt idx="81">
                  <c:v>36</c:v>
                </c:pt>
                <c:pt idx="82">
                  <c:v>35.5</c:v>
                </c:pt>
                <c:pt idx="83">
                  <c:v>45.5</c:v>
                </c:pt>
                <c:pt idx="84">
                  <c:v>45</c:v>
                </c:pt>
                <c:pt idx="85">
                  <c:v>49</c:v>
                </c:pt>
                <c:pt idx="86">
                  <c:v>36.75</c:v>
                </c:pt>
                <c:pt idx="87">
                  <c:v>46.25</c:v>
                </c:pt>
                <c:pt idx="88">
                  <c:v>24.25</c:v>
                </c:pt>
                <c:pt idx="89">
                  <c:v>28</c:v>
                </c:pt>
                <c:pt idx="90">
                  <c:v>21.25</c:v>
                </c:pt>
                <c:pt idx="91">
                  <c:v>31</c:v>
                </c:pt>
                <c:pt idx="92">
                  <c:v>25.25</c:v>
                </c:pt>
                <c:pt idx="93">
                  <c:v>31.25</c:v>
                </c:pt>
                <c:pt idx="94">
                  <c:v>47.25</c:v>
                </c:pt>
                <c:pt idx="95">
                  <c:v>45.75</c:v>
                </c:pt>
                <c:pt idx="96">
                  <c:v>46.75</c:v>
                </c:pt>
                <c:pt idx="97">
                  <c:v>44.25</c:v>
                </c:pt>
                <c:pt idx="98">
                  <c:v>48.5</c:v>
                </c:pt>
                <c:pt idx="99">
                  <c:v>38.25</c:v>
                </c:pt>
                <c:pt idx="100">
                  <c:v>47</c:v>
                </c:pt>
                <c:pt idx="101">
                  <c:v>39.75</c:v>
                </c:pt>
                <c:pt idx="102">
                  <c:v>36.25</c:v>
                </c:pt>
                <c:pt idx="103">
                  <c:v>40.75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10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18</c:v>
                </c:pt>
                <c:pt idx="112">
                  <c:v>20</c:v>
                </c:pt>
                <c:pt idx="113">
                  <c:v>22</c:v>
                </c:pt>
                <c:pt idx="114">
                  <c:v>24</c:v>
                </c:pt>
                <c:pt idx="115">
                  <c:v>26</c:v>
                </c:pt>
                <c:pt idx="116">
                  <c:v>28</c:v>
                </c:pt>
                <c:pt idx="117">
                  <c:v>30</c:v>
                </c:pt>
                <c:pt idx="118">
                  <c:v>32</c:v>
                </c:pt>
                <c:pt idx="119">
                  <c:v>34</c:v>
                </c:pt>
                <c:pt idx="120">
                  <c:v>36</c:v>
                </c:pt>
                <c:pt idx="121">
                  <c:v>38</c:v>
                </c:pt>
                <c:pt idx="122">
                  <c:v>40</c:v>
                </c:pt>
                <c:pt idx="123">
                  <c:v>42</c:v>
                </c:pt>
                <c:pt idx="124">
                  <c:v>44</c:v>
                </c:pt>
                <c:pt idx="125">
                  <c:v>46</c:v>
                </c:pt>
                <c:pt idx="126">
                  <c:v>48</c:v>
                </c:pt>
                <c:pt idx="127">
                  <c:v>50</c:v>
                </c:pt>
                <c:pt idx="128">
                  <c:v>14</c:v>
                </c:pt>
                <c:pt idx="129">
                  <c:v>16</c:v>
                </c:pt>
                <c:pt idx="130">
                  <c:v>18</c:v>
                </c:pt>
                <c:pt idx="131">
                  <c:v>20</c:v>
                </c:pt>
                <c:pt idx="132">
                  <c:v>22</c:v>
                </c:pt>
                <c:pt idx="133">
                  <c:v>24</c:v>
                </c:pt>
                <c:pt idx="134">
                  <c:v>26</c:v>
                </c:pt>
                <c:pt idx="135">
                  <c:v>28</c:v>
                </c:pt>
                <c:pt idx="136">
                  <c:v>30</c:v>
                </c:pt>
                <c:pt idx="137">
                  <c:v>32</c:v>
                </c:pt>
                <c:pt idx="138">
                  <c:v>34</c:v>
                </c:pt>
                <c:pt idx="139">
                  <c:v>36</c:v>
                </c:pt>
                <c:pt idx="140">
                  <c:v>38</c:v>
                </c:pt>
                <c:pt idx="141">
                  <c:v>40</c:v>
                </c:pt>
                <c:pt idx="142">
                  <c:v>52</c:v>
                </c:pt>
                <c:pt idx="143">
                  <c:v>84</c:v>
                </c:pt>
                <c:pt idx="144">
                  <c:v>44</c:v>
                </c:pt>
                <c:pt idx="145">
                  <c:v>72</c:v>
                </c:pt>
                <c:pt idx="146">
                  <c:v>61</c:v>
                </c:pt>
                <c:pt idx="147">
                  <c:v>57</c:v>
                </c:pt>
                <c:pt idx="148">
                  <c:v>59</c:v>
                </c:pt>
                <c:pt idx="149">
                  <c:v>38.5</c:v>
                </c:pt>
                <c:pt idx="150">
                  <c:v>58.5</c:v>
                </c:pt>
                <c:pt idx="151">
                  <c:v>45</c:v>
                </c:pt>
                <c:pt idx="152">
                  <c:v>38</c:v>
                </c:pt>
                <c:pt idx="153">
                  <c:v>40</c:v>
                </c:pt>
                <c:pt idx="154">
                  <c:v>42.5</c:v>
                </c:pt>
                <c:pt idx="155">
                  <c:v>47.5</c:v>
                </c:pt>
                <c:pt idx="156">
                  <c:v>63</c:v>
                </c:pt>
                <c:pt idx="157">
                  <c:v>49</c:v>
                </c:pt>
                <c:pt idx="158">
                  <c:v>52.5</c:v>
                </c:pt>
                <c:pt idx="159">
                  <c:v>56</c:v>
                </c:pt>
                <c:pt idx="160">
                  <c:v>79.5</c:v>
                </c:pt>
                <c:pt idx="161">
                  <c:v>76.3</c:v>
                </c:pt>
                <c:pt idx="162">
                  <c:v>56.5</c:v>
                </c:pt>
                <c:pt idx="163">
                  <c:v>47.5</c:v>
                </c:pt>
                <c:pt idx="164">
                  <c:v>39.1</c:v>
                </c:pt>
                <c:pt idx="165">
                  <c:v>56.3</c:v>
                </c:pt>
                <c:pt idx="166">
                  <c:v>62.8</c:v>
                </c:pt>
                <c:pt idx="167">
                  <c:v>54</c:v>
                </c:pt>
                <c:pt idx="168">
                  <c:v>48.5</c:v>
                </c:pt>
                <c:pt idx="169">
                  <c:v>53.8</c:v>
                </c:pt>
                <c:pt idx="170">
                  <c:v>48.5</c:v>
                </c:pt>
                <c:pt idx="171">
                  <c:v>47.6</c:v>
                </c:pt>
                <c:pt idx="172">
                  <c:v>44.7</c:v>
                </c:pt>
                <c:pt idx="173">
                  <c:v>37.299999999999997</c:v>
                </c:pt>
                <c:pt idx="174">
                  <c:v>38</c:v>
                </c:pt>
                <c:pt idx="175">
                  <c:v>20</c:v>
                </c:pt>
                <c:pt idx="176">
                  <c:v>22</c:v>
                </c:pt>
                <c:pt idx="177">
                  <c:v>24</c:v>
                </c:pt>
                <c:pt idx="178">
                  <c:v>26</c:v>
                </c:pt>
                <c:pt idx="179">
                  <c:v>28</c:v>
                </c:pt>
                <c:pt idx="180">
                  <c:v>30</c:v>
                </c:pt>
                <c:pt idx="181">
                  <c:v>32</c:v>
                </c:pt>
                <c:pt idx="182">
                  <c:v>34</c:v>
                </c:pt>
                <c:pt idx="183">
                  <c:v>36</c:v>
                </c:pt>
                <c:pt idx="184">
                  <c:v>38</c:v>
                </c:pt>
                <c:pt idx="185">
                  <c:v>40</c:v>
                </c:pt>
                <c:pt idx="186">
                  <c:v>42</c:v>
                </c:pt>
                <c:pt idx="187">
                  <c:v>44</c:v>
                </c:pt>
                <c:pt idx="188">
                  <c:v>10.4</c:v>
                </c:pt>
                <c:pt idx="189">
                  <c:v>12.1</c:v>
                </c:pt>
                <c:pt idx="190">
                  <c:v>14.5</c:v>
                </c:pt>
                <c:pt idx="191">
                  <c:v>18.7</c:v>
                </c:pt>
                <c:pt idx="192">
                  <c:v>22.6</c:v>
                </c:pt>
                <c:pt idx="193">
                  <c:v>26.1</c:v>
                </c:pt>
                <c:pt idx="194">
                  <c:v>18.8</c:v>
                </c:pt>
                <c:pt idx="195">
                  <c:v>26.1</c:v>
                </c:pt>
                <c:pt idx="196">
                  <c:v>30.5</c:v>
                </c:pt>
                <c:pt idx="197">
                  <c:v>32.1</c:v>
                </c:pt>
                <c:pt idx="198" formatCode="0.00">
                  <c:v>109.81691073340778</c:v>
                </c:pt>
                <c:pt idx="199" formatCode="0.00">
                  <c:v>165.52114081557116</c:v>
                </c:pt>
                <c:pt idx="200" formatCode="0.00">
                  <c:v>105.04226244065093</c:v>
                </c:pt>
                <c:pt idx="201" formatCode="0.00">
                  <c:v>97.08451528605616</c:v>
                </c:pt>
                <c:pt idx="202" formatCode="0.00">
                  <c:v>98.676064716975105</c:v>
                </c:pt>
                <c:pt idx="203" formatCode="0.00">
                  <c:v>132.09860276627313</c:v>
                </c:pt>
                <c:pt idx="204" formatCode="0.00">
                  <c:v>162.33804195373324</c:v>
                </c:pt>
                <c:pt idx="205" formatCode="0.00">
                  <c:v>171.88733853924697</c:v>
                </c:pt>
                <c:pt idx="206" formatCode="0.00">
                  <c:v>216.45072260497767</c:v>
                </c:pt>
                <c:pt idx="207" formatCode="0.00">
                  <c:v>197.35212943395021</c:v>
                </c:pt>
              </c:numCache>
            </c:numRef>
          </c:xVal>
          <c:yVal>
            <c:numRef>
              <c:f>'##KrRKI_alle'!$I$4:$I$211</c:f>
              <c:numCache>
                <c:formatCode>General</c:formatCode>
                <c:ptCount val="208"/>
                <c:pt idx="0">
                  <c:v>0.92749999999999999</c:v>
                </c:pt>
                <c:pt idx="1">
                  <c:v>0.91749999999999998</c:v>
                </c:pt>
                <c:pt idx="2">
                  <c:v>0.89</c:v>
                </c:pt>
                <c:pt idx="3">
                  <c:v>0.63249999999999995</c:v>
                </c:pt>
                <c:pt idx="4">
                  <c:v>0.60499999999999998</c:v>
                </c:pt>
                <c:pt idx="5">
                  <c:v>0.54</c:v>
                </c:pt>
                <c:pt idx="6">
                  <c:v>1.1325000000000001</c:v>
                </c:pt>
                <c:pt idx="7">
                  <c:v>0.56999999999999995</c:v>
                </c:pt>
                <c:pt idx="8">
                  <c:v>1.06</c:v>
                </c:pt>
                <c:pt idx="9">
                  <c:v>1.06</c:v>
                </c:pt>
                <c:pt idx="10">
                  <c:v>1.165</c:v>
                </c:pt>
                <c:pt idx="11">
                  <c:v>0.77749999999999997</c:v>
                </c:pt>
                <c:pt idx="12">
                  <c:v>1.0375000000000001</c:v>
                </c:pt>
                <c:pt idx="13">
                  <c:v>0.67500000000000004</c:v>
                </c:pt>
                <c:pt idx="14">
                  <c:v>0.73750000000000004</c:v>
                </c:pt>
                <c:pt idx="15">
                  <c:v>0.70750000000000002</c:v>
                </c:pt>
                <c:pt idx="16">
                  <c:v>0.97</c:v>
                </c:pt>
                <c:pt idx="17">
                  <c:v>1.0125</c:v>
                </c:pt>
                <c:pt idx="18">
                  <c:v>0.52500000000000002</c:v>
                </c:pt>
                <c:pt idx="19">
                  <c:v>0.94</c:v>
                </c:pt>
                <c:pt idx="20">
                  <c:v>1.27</c:v>
                </c:pt>
                <c:pt idx="21">
                  <c:v>1.2424999999999999</c:v>
                </c:pt>
                <c:pt idx="22">
                  <c:v>1.075</c:v>
                </c:pt>
                <c:pt idx="23">
                  <c:v>0.92</c:v>
                </c:pt>
                <c:pt idx="24">
                  <c:v>1.46</c:v>
                </c:pt>
                <c:pt idx="25">
                  <c:v>1.4775</c:v>
                </c:pt>
                <c:pt idx="26">
                  <c:v>1.585</c:v>
                </c:pt>
                <c:pt idx="27">
                  <c:v>1.66</c:v>
                </c:pt>
                <c:pt idx="28">
                  <c:v>1.6425000000000001</c:v>
                </c:pt>
                <c:pt idx="29">
                  <c:v>1.2875000000000001</c:v>
                </c:pt>
                <c:pt idx="30">
                  <c:v>1.49</c:v>
                </c:pt>
                <c:pt idx="31">
                  <c:v>1.5449999999999999</c:v>
                </c:pt>
                <c:pt idx="32">
                  <c:v>1.3525</c:v>
                </c:pt>
                <c:pt idx="33">
                  <c:v>2.33</c:v>
                </c:pt>
                <c:pt idx="34">
                  <c:v>1.5974999999999999</c:v>
                </c:pt>
                <c:pt idx="35">
                  <c:v>0.93</c:v>
                </c:pt>
                <c:pt idx="36">
                  <c:v>1.9125000000000001</c:v>
                </c:pt>
                <c:pt idx="37">
                  <c:v>0.88249999999999995</c:v>
                </c:pt>
                <c:pt idx="38">
                  <c:v>1.2475000000000001</c:v>
                </c:pt>
                <c:pt idx="39">
                  <c:v>1.3025</c:v>
                </c:pt>
                <c:pt idx="40">
                  <c:v>1.0874999999999999</c:v>
                </c:pt>
                <c:pt idx="41">
                  <c:v>2.08</c:v>
                </c:pt>
                <c:pt idx="42">
                  <c:v>2.4</c:v>
                </c:pt>
                <c:pt idx="43">
                  <c:v>1.7949999999999999</c:v>
                </c:pt>
                <c:pt idx="44">
                  <c:v>1.7224999999999999</c:v>
                </c:pt>
                <c:pt idx="45">
                  <c:v>1.47</c:v>
                </c:pt>
                <c:pt idx="46">
                  <c:v>2.2349999999999999</c:v>
                </c:pt>
                <c:pt idx="47">
                  <c:v>2.0125000000000002</c:v>
                </c:pt>
                <c:pt idx="48">
                  <c:v>2.1549999999999998</c:v>
                </c:pt>
                <c:pt idx="49">
                  <c:v>2.2799999999999998</c:v>
                </c:pt>
                <c:pt idx="50">
                  <c:v>2.4275000000000002</c:v>
                </c:pt>
                <c:pt idx="51">
                  <c:v>1.8025</c:v>
                </c:pt>
                <c:pt idx="52">
                  <c:v>2.4424999999999999</c:v>
                </c:pt>
                <c:pt idx="53">
                  <c:v>2.1425000000000001</c:v>
                </c:pt>
                <c:pt idx="54">
                  <c:v>1.6475</c:v>
                </c:pt>
                <c:pt idx="55">
                  <c:v>2.6549999999999998</c:v>
                </c:pt>
                <c:pt idx="56">
                  <c:v>1.9424999999999999</c:v>
                </c:pt>
                <c:pt idx="57">
                  <c:v>1.9550000000000001</c:v>
                </c:pt>
                <c:pt idx="58">
                  <c:v>2.3574999999999999</c:v>
                </c:pt>
                <c:pt idx="59">
                  <c:v>2.1375000000000002</c:v>
                </c:pt>
                <c:pt idx="60">
                  <c:v>2.99</c:v>
                </c:pt>
                <c:pt idx="61">
                  <c:v>2.835</c:v>
                </c:pt>
                <c:pt idx="62">
                  <c:v>2.9550000000000001</c:v>
                </c:pt>
                <c:pt idx="63">
                  <c:v>3.2675000000000001</c:v>
                </c:pt>
                <c:pt idx="64">
                  <c:v>3.4649999999999999</c:v>
                </c:pt>
                <c:pt idx="65">
                  <c:v>3.0724999999999998</c:v>
                </c:pt>
                <c:pt idx="66">
                  <c:v>2.6475</c:v>
                </c:pt>
                <c:pt idx="67">
                  <c:v>2.5150000000000001</c:v>
                </c:pt>
                <c:pt idx="68">
                  <c:v>2.415</c:v>
                </c:pt>
                <c:pt idx="69">
                  <c:v>2.0325000000000002</c:v>
                </c:pt>
                <c:pt idx="70">
                  <c:v>2.4275000000000002</c:v>
                </c:pt>
                <c:pt idx="71">
                  <c:v>3.11</c:v>
                </c:pt>
                <c:pt idx="72">
                  <c:v>1.2575000000000001</c:v>
                </c:pt>
                <c:pt idx="73">
                  <c:v>1.91</c:v>
                </c:pt>
                <c:pt idx="74">
                  <c:v>4.415</c:v>
                </c:pt>
                <c:pt idx="75">
                  <c:v>2.3325</c:v>
                </c:pt>
                <c:pt idx="76">
                  <c:v>1.9650000000000001</c:v>
                </c:pt>
                <c:pt idx="77">
                  <c:v>1.9175</c:v>
                </c:pt>
                <c:pt idx="78">
                  <c:v>2.7174999999999998</c:v>
                </c:pt>
                <c:pt idx="79">
                  <c:v>2.8624999999999998</c:v>
                </c:pt>
                <c:pt idx="80">
                  <c:v>3.46</c:v>
                </c:pt>
                <c:pt idx="81">
                  <c:v>2.2599999999999998</c:v>
                </c:pt>
                <c:pt idx="82">
                  <c:v>3.085</c:v>
                </c:pt>
                <c:pt idx="83">
                  <c:v>3.6724999999999999</c:v>
                </c:pt>
                <c:pt idx="84">
                  <c:v>3.1724999999999999</c:v>
                </c:pt>
                <c:pt idx="85">
                  <c:v>3.0924999999999998</c:v>
                </c:pt>
                <c:pt idx="86">
                  <c:v>2.7050000000000001</c:v>
                </c:pt>
                <c:pt idx="87">
                  <c:v>2.7925</c:v>
                </c:pt>
                <c:pt idx="88">
                  <c:v>1.7124999999999999</c:v>
                </c:pt>
                <c:pt idx="89">
                  <c:v>2.5874999999999999</c:v>
                </c:pt>
                <c:pt idx="90">
                  <c:v>1.9975000000000001</c:v>
                </c:pt>
                <c:pt idx="91">
                  <c:v>3.0750000000000002</c:v>
                </c:pt>
                <c:pt idx="92">
                  <c:v>2.0449999999999999</c:v>
                </c:pt>
                <c:pt idx="93">
                  <c:v>2.1175000000000002</c:v>
                </c:pt>
                <c:pt idx="94">
                  <c:v>4.6224999999999996</c:v>
                </c:pt>
                <c:pt idx="95">
                  <c:v>3.66</c:v>
                </c:pt>
                <c:pt idx="96">
                  <c:v>2.7349999999999999</c:v>
                </c:pt>
                <c:pt idx="97">
                  <c:v>3.0425</c:v>
                </c:pt>
                <c:pt idx="98">
                  <c:v>3.2650000000000001</c:v>
                </c:pt>
                <c:pt idx="99">
                  <c:v>3.75</c:v>
                </c:pt>
                <c:pt idx="100">
                  <c:v>3.7949999999999999</c:v>
                </c:pt>
                <c:pt idx="101">
                  <c:v>3.37</c:v>
                </c:pt>
                <c:pt idx="102">
                  <c:v>3.9775</c:v>
                </c:pt>
                <c:pt idx="103">
                  <c:v>3.0274999999999999</c:v>
                </c:pt>
                <c:pt idx="104">
                  <c:v>0.50462650440403201</c:v>
                </c:pt>
                <c:pt idx="105">
                  <c:v>0.7136496464611084</c:v>
                </c:pt>
                <c:pt idx="106">
                  <c:v>0.87403874447366325</c:v>
                </c:pt>
                <c:pt idx="107">
                  <c:v>1.0249012754438884</c:v>
                </c:pt>
                <c:pt idx="108">
                  <c:v>1.1562445770562217</c:v>
                </c:pt>
                <c:pt idx="109">
                  <c:v>1.2741194683142285</c:v>
                </c:pt>
                <c:pt idx="110">
                  <c:v>1.381976597885342</c:v>
                </c:pt>
                <c:pt idx="111">
                  <c:v>1.4820047957642228</c:v>
                </c:pt>
                <c:pt idx="112">
                  <c:v>1.5756957549709802</c:v>
                </c:pt>
                <c:pt idx="113">
                  <c:v>1.6736567743768009</c:v>
                </c:pt>
                <c:pt idx="114">
                  <c:v>1.7751810818109595</c:v>
                </c:pt>
                <c:pt idx="115">
                  <c:v>1.8712051592547776</c:v>
                </c:pt>
                <c:pt idx="116">
                  <c:v>1.9625365277680482</c:v>
                </c:pt>
                <c:pt idx="117">
                  <c:v>2.0575523046193545</c:v>
                </c:pt>
                <c:pt idx="118">
                  <c:v>2.1483699284957805</c:v>
                </c:pt>
                <c:pt idx="119">
                  <c:v>2.2426092396366988</c:v>
                </c:pt>
                <c:pt idx="120">
                  <c:v>2.3330450175131259</c:v>
                </c:pt>
                <c:pt idx="121">
                  <c:v>2.4266711549775604</c:v>
                </c:pt>
                <c:pt idx="122">
                  <c:v>2.57927831403306</c:v>
                </c:pt>
                <c:pt idx="123">
                  <c:v>2.6221162334209898</c:v>
                </c:pt>
                <c:pt idx="124">
                  <c:v>2.7291851048803379</c:v>
                </c:pt>
                <c:pt idx="125">
                  <c:v>2.843425945768288</c:v>
                </c:pt>
                <c:pt idx="126">
                  <c:v>2.9693743191606883</c:v>
                </c:pt>
                <c:pt idx="127">
                  <c:v>3.110726690017501</c:v>
                </c:pt>
                <c:pt idx="128">
                  <c:v>1.2865501965161374</c:v>
                </c:pt>
                <c:pt idx="129">
                  <c:v>1.358748446131949</c:v>
                </c:pt>
                <c:pt idx="130">
                  <c:v>1.460368527951557</c:v>
                </c:pt>
                <c:pt idx="131">
                  <c:v>1.5655625581928012</c:v>
                </c:pt>
                <c:pt idx="132">
                  <c:v>1.6831393249032407</c:v>
                </c:pt>
                <c:pt idx="133">
                  <c:v>1.8194567365868921</c:v>
                </c:pt>
                <c:pt idx="134">
                  <c:v>1.9706294962377493</c:v>
                </c:pt>
                <c:pt idx="135">
                  <c:v>2.1260292528114064</c:v>
                </c:pt>
                <c:pt idx="136">
                  <c:v>2.2847936741452535</c:v>
                </c:pt>
                <c:pt idx="137">
                  <c:v>2.4332208866065792</c:v>
                </c:pt>
                <c:pt idx="138">
                  <c:v>2.5606998370340261</c:v>
                </c:pt>
                <c:pt idx="139">
                  <c:v>2.6821266613927222</c:v>
                </c:pt>
                <c:pt idx="140">
                  <c:v>2.7811742545669649</c:v>
                </c:pt>
                <c:pt idx="141">
                  <c:v>2.8545985858444336</c:v>
                </c:pt>
                <c:pt idx="142">
                  <c:v>4</c:v>
                </c:pt>
                <c:pt idx="143">
                  <c:v>4.5</c:v>
                </c:pt>
                <c:pt idx="144">
                  <c:v>4</c:v>
                </c:pt>
                <c:pt idx="145">
                  <c:v>5.5</c:v>
                </c:pt>
                <c:pt idx="146">
                  <c:v>4.6500000000000004</c:v>
                </c:pt>
                <c:pt idx="147">
                  <c:v>4.7750000000000004</c:v>
                </c:pt>
                <c:pt idx="148">
                  <c:v>4</c:v>
                </c:pt>
                <c:pt idx="149">
                  <c:v>3.6</c:v>
                </c:pt>
                <c:pt idx="150">
                  <c:v>5.9749999999999996</c:v>
                </c:pt>
                <c:pt idx="151">
                  <c:v>3.4750000000000001</c:v>
                </c:pt>
                <c:pt idx="152">
                  <c:v>3.4750000000000001</c:v>
                </c:pt>
                <c:pt idx="153">
                  <c:v>2.7250000000000001</c:v>
                </c:pt>
                <c:pt idx="154">
                  <c:v>3.9750000000000001</c:v>
                </c:pt>
                <c:pt idx="155">
                  <c:v>3.35</c:v>
                </c:pt>
                <c:pt idx="156">
                  <c:v>4.9249999999999998</c:v>
                </c:pt>
                <c:pt idx="157">
                  <c:v>4.45</c:v>
                </c:pt>
                <c:pt idx="158">
                  <c:v>4.95</c:v>
                </c:pt>
                <c:pt idx="159">
                  <c:v>3.7</c:v>
                </c:pt>
                <c:pt idx="160">
                  <c:v>5.4249999999999998</c:v>
                </c:pt>
                <c:pt idx="161">
                  <c:v>4.7539479391838348</c:v>
                </c:pt>
                <c:pt idx="162">
                  <c:v>3.5682497392916686</c:v>
                </c:pt>
                <c:pt idx="163">
                  <c:v>3.1915395911008293</c:v>
                </c:pt>
                <c:pt idx="164">
                  <c:v>1.7841248696458343</c:v>
                </c:pt>
                <c:pt idx="165">
                  <c:v>5.5</c:v>
                </c:pt>
                <c:pt idx="166">
                  <c:v>5.5</c:v>
                </c:pt>
                <c:pt idx="167">
                  <c:v>4</c:v>
                </c:pt>
                <c:pt idx="168">
                  <c:v>4.5</c:v>
                </c:pt>
                <c:pt idx="169">
                  <c:v>4.5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1.5</c:v>
                </c:pt>
                <c:pt idx="175">
                  <c:v>1.2865501965161374</c:v>
                </c:pt>
                <c:pt idx="176">
                  <c:v>1.438406847937898</c:v>
                </c:pt>
                <c:pt idx="177">
                  <c:v>1.5857642008987169</c:v>
                </c:pt>
                <c:pt idx="178">
                  <c:v>1.7297725082008999</c:v>
                </c:pt>
                <c:pt idx="179">
                  <c:v>1.8712051592547776</c:v>
                </c:pt>
                <c:pt idx="180">
                  <c:v>2.0106057680545288</c:v>
                </c:pt>
                <c:pt idx="181">
                  <c:v>2.1631355313298619</c:v>
                </c:pt>
                <c:pt idx="182">
                  <c:v>2.326213245840639</c:v>
                </c:pt>
                <c:pt idx="183">
                  <c:v>2.5104851615652017</c:v>
                </c:pt>
                <c:pt idx="184">
                  <c:v>2.6939683377854364</c:v>
                </c:pt>
                <c:pt idx="185">
                  <c:v>2.8878571671769566</c:v>
                </c:pt>
                <c:pt idx="186">
                  <c:v>3.0798757455905528</c:v>
                </c:pt>
                <c:pt idx="187">
                  <c:v>3.2849208729633812</c:v>
                </c:pt>
                <c:pt idx="188">
                  <c:v>1.2549999999999999</c:v>
                </c:pt>
                <c:pt idx="189">
                  <c:v>1.345</c:v>
                </c:pt>
                <c:pt idx="190">
                  <c:v>1.64</c:v>
                </c:pt>
                <c:pt idx="191">
                  <c:v>1.64</c:v>
                </c:pt>
                <c:pt idx="192">
                  <c:v>2.2549999999999999</c:v>
                </c:pt>
                <c:pt idx="193">
                  <c:v>2.0099999999999998</c:v>
                </c:pt>
                <c:pt idx="194">
                  <c:v>1.7749999999999999</c:v>
                </c:pt>
                <c:pt idx="195">
                  <c:v>2.0249999999999999</c:v>
                </c:pt>
                <c:pt idx="196">
                  <c:v>2.0550000000000002</c:v>
                </c:pt>
                <c:pt idx="197">
                  <c:v>2.4049999999999998</c:v>
                </c:pt>
                <c:pt idx="198">
                  <c:v>6</c:v>
                </c:pt>
                <c:pt idx="199">
                  <c:v>8</c:v>
                </c:pt>
                <c:pt idx="200">
                  <c:v>4</c:v>
                </c:pt>
                <c:pt idx="201">
                  <c:v>5</c:v>
                </c:pt>
                <c:pt idx="202">
                  <c:v>8</c:v>
                </c:pt>
                <c:pt idx="203">
                  <c:v>7.5</c:v>
                </c:pt>
                <c:pt idx="204">
                  <c:v>8</c:v>
                </c:pt>
                <c:pt idx="205">
                  <c:v>9.5</c:v>
                </c:pt>
                <c:pt idx="206">
                  <c:v>12.5</c:v>
                </c:pt>
                <c:pt idx="207">
                  <c:v>7.5</c:v>
                </c:pt>
              </c:numCache>
            </c:numRef>
          </c:yVal>
          <c:smooth val="0"/>
        </c:ser>
        <c:ser>
          <c:idx val="0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'##KrRKI_alle'!$V$38:$V$96</c:f>
              <c:numCache>
                <c:formatCode>General</c:formatCode>
                <c:ptCount val="5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</c:numCache>
            </c:numRef>
          </c:xVal>
          <c:yVal>
            <c:numRef>
              <c:f>'##KrRKI_alle'!$W$38:$W$96</c:f>
              <c:numCache>
                <c:formatCode>General</c:formatCode>
                <c:ptCount val="59"/>
                <c:pt idx="0">
                  <c:v>0.64634146341463417</c:v>
                </c:pt>
                <c:pt idx="1">
                  <c:v>0.7857142857142857</c:v>
                </c:pt>
                <c:pt idx="2">
                  <c:v>0.91860465116279078</c:v>
                </c:pt>
                <c:pt idx="3">
                  <c:v>1.0454545454545454</c:v>
                </c:pt>
                <c:pt idx="4">
                  <c:v>1.1666666666666665</c:v>
                </c:pt>
                <c:pt idx="5">
                  <c:v>1.2826086956521738</c:v>
                </c:pt>
                <c:pt idx="6">
                  <c:v>1.3936170212765957</c:v>
                </c:pt>
                <c:pt idx="7">
                  <c:v>1.5</c:v>
                </c:pt>
                <c:pt idx="8">
                  <c:v>1.6020408163265305</c:v>
                </c:pt>
                <c:pt idx="9">
                  <c:v>1.7</c:v>
                </c:pt>
                <c:pt idx="10">
                  <c:v>1.7941176470588236</c:v>
                </c:pt>
                <c:pt idx="11">
                  <c:v>1.8846153846153846</c:v>
                </c:pt>
                <c:pt idx="12">
                  <c:v>1.9716981132075471</c:v>
                </c:pt>
                <c:pt idx="13">
                  <c:v>2.0555555555555554</c:v>
                </c:pt>
                <c:pt idx="14">
                  <c:v>2.1363636363636367</c:v>
                </c:pt>
                <c:pt idx="15">
                  <c:v>2.2142857142857144</c:v>
                </c:pt>
                <c:pt idx="16">
                  <c:v>2.2894736842105265</c:v>
                </c:pt>
                <c:pt idx="17">
                  <c:v>2.3620689655172411</c:v>
                </c:pt>
                <c:pt idx="18">
                  <c:v>2.4322033898305087</c:v>
                </c:pt>
                <c:pt idx="19">
                  <c:v>2.5</c:v>
                </c:pt>
                <c:pt idx="20">
                  <c:v>2.5655737704918034</c:v>
                </c:pt>
                <c:pt idx="21">
                  <c:v>2.629032258064516</c:v>
                </c:pt>
                <c:pt idx="22">
                  <c:v>2.6904761904761907</c:v>
                </c:pt>
                <c:pt idx="23">
                  <c:v>2.75</c:v>
                </c:pt>
                <c:pt idx="24">
                  <c:v>2.8076923076923075</c:v>
                </c:pt>
                <c:pt idx="25">
                  <c:v>2.8636363636363638</c:v>
                </c:pt>
                <c:pt idx="26">
                  <c:v>2.9179104477611939</c:v>
                </c:pt>
                <c:pt idx="27">
                  <c:v>2.9705882352941178</c:v>
                </c:pt>
                <c:pt idx="28">
                  <c:v>3.0217391304347827</c:v>
                </c:pt>
                <c:pt idx="29">
                  <c:v>3.0714285714285716</c:v>
                </c:pt>
                <c:pt idx="30">
                  <c:v>3.119718309859155</c:v>
                </c:pt>
                <c:pt idx="31">
                  <c:v>3.1666666666666665</c:v>
                </c:pt>
                <c:pt idx="32">
                  <c:v>3.2123287671232879</c:v>
                </c:pt>
                <c:pt idx="33">
                  <c:v>3.2567567567567566</c:v>
                </c:pt>
                <c:pt idx="34">
                  <c:v>3.3</c:v>
                </c:pt>
                <c:pt idx="35">
                  <c:v>3.3421052631578947</c:v>
                </c:pt>
                <c:pt idx="36">
                  <c:v>3.383116883116883</c:v>
                </c:pt>
                <c:pt idx="37">
                  <c:v>3.4230769230769229</c:v>
                </c:pt>
                <c:pt idx="38">
                  <c:v>3.462025316455696</c:v>
                </c:pt>
                <c:pt idx="39">
                  <c:v>3.5</c:v>
                </c:pt>
                <c:pt idx="40">
                  <c:v>3.5370370370370372</c:v>
                </c:pt>
                <c:pt idx="41">
                  <c:v>3.5731707317073171</c:v>
                </c:pt>
                <c:pt idx="42">
                  <c:v>3.6084337349397591</c:v>
                </c:pt>
                <c:pt idx="43">
                  <c:v>3.6428571428571428</c:v>
                </c:pt>
                <c:pt idx="44">
                  <c:v>3.6764705882352939</c:v>
                </c:pt>
                <c:pt idx="45">
                  <c:v>3.7093023255813953</c:v>
                </c:pt>
                <c:pt idx="46">
                  <c:v>3.7413793103448274</c:v>
                </c:pt>
                <c:pt idx="47">
                  <c:v>3.7727272727272729</c:v>
                </c:pt>
                <c:pt idx="48">
                  <c:v>3.803370786516854</c:v>
                </c:pt>
                <c:pt idx="49">
                  <c:v>3.8333333333333335</c:v>
                </c:pt>
                <c:pt idx="50">
                  <c:v>3.8626373626373627</c:v>
                </c:pt>
                <c:pt idx="51">
                  <c:v>3.8913043478260869</c:v>
                </c:pt>
                <c:pt idx="52">
                  <c:v>3.9193548387096775</c:v>
                </c:pt>
                <c:pt idx="53">
                  <c:v>3.9468085106382977</c:v>
                </c:pt>
                <c:pt idx="54">
                  <c:v>3.9736842105263159</c:v>
                </c:pt>
                <c:pt idx="55">
                  <c:v>4</c:v>
                </c:pt>
                <c:pt idx="56">
                  <c:v>4.0257731958762886</c:v>
                </c:pt>
                <c:pt idx="57">
                  <c:v>4.0510204081632653</c:v>
                </c:pt>
                <c:pt idx="58">
                  <c:v>4.0757575757575761</c:v>
                </c:pt>
              </c:numCache>
            </c:numRef>
          </c:y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'##KrRKI_alle'!$V$38:$V$96</c:f>
              <c:numCache>
                <c:formatCode>General</c:formatCode>
                <c:ptCount val="5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</c:numCache>
            </c:numRef>
          </c:xVal>
          <c:yVal>
            <c:numRef>
              <c:f>'##KrRKI_alle'!$X$38:$X$96</c:f>
              <c:numCache>
                <c:formatCode>General</c:formatCode>
                <c:ptCount val="59"/>
              </c:numCache>
            </c:numRef>
          </c:yVal>
          <c:smooth val="0"/>
        </c:ser>
        <c:ser>
          <c:idx val="2"/>
          <c:order val="3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'##KrRKI_alle'!$P$95:$P$96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'##KrRKI_alle'!$Q$95:$Q$96</c:f>
              <c:numCache>
                <c:formatCode>General</c:formatCode>
                <c:ptCount val="2"/>
                <c:pt idx="0">
                  <c:v>0.48138999999999998</c:v>
                </c:pt>
                <c:pt idx="1">
                  <c:v>10.907389999999999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19936"/>
        <c:axId val="218720512"/>
      </c:scatterChart>
      <c:valAx>
        <c:axId val="21871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Brusthöhendurchmesser in cm</a:t>
                </a:r>
              </a:p>
            </c:rich>
          </c:tx>
          <c:layout>
            <c:manualLayout>
              <c:xMode val="edge"/>
              <c:yMode val="edge"/>
              <c:x val="0.40242471335819868"/>
              <c:y val="0.881846337389644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720512"/>
        <c:crosses val="autoZero"/>
        <c:crossBetween val="midCat"/>
      </c:valAx>
      <c:valAx>
        <c:axId val="218720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Kronenradius in m</a:t>
                </a:r>
              </a:p>
            </c:rich>
          </c:tx>
          <c:layout>
            <c:manualLayout>
              <c:xMode val="edge"/>
              <c:yMode val="edge"/>
              <c:x val="1.9737417691209652E-2"/>
              <c:y val="0.325010498687664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7199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Blattmasse-Höhen-Beziehung Kiefer</a:t>
            </a:r>
          </a:p>
        </c:rich>
      </c:tx>
      <c:layout>
        <c:manualLayout>
          <c:xMode val="edge"/>
          <c:yMode val="edge"/>
          <c:x val="0.27568441512378516"/>
          <c:y val="2.72322616253906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6248380785032"/>
          <c:y val="0.14523907529344202"/>
          <c:w val="0.85408108597890986"/>
          <c:h val="0.7080404920555297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80"/>
                </a:solidFill>
                <a:prstDash val="solid"/>
              </a:ln>
            </c:spPr>
            <c:trendlineType val="log"/>
            <c:dispRSqr val="1"/>
            <c:dispEq val="1"/>
            <c:trendlineLbl>
              <c:layout>
                <c:manualLayout>
                  <c:x val="-0.55658911780197551"/>
                  <c:y val="-0.2021830136163352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4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'##BlattmasseHöheKI'!$F$5:$F$262</c:f>
              <c:numCache>
                <c:formatCode>0.00</c:formatCode>
                <c:ptCount val="258"/>
                <c:pt idx="0">
                  <c:v>9.7000000000000005E-4</c:v>
                </c:pt>
                <c:pt idx="1">
                  <c:v>1.2199999999999999E-3</c:v>
                </c:pt>
                <c:pt idx="2">
                  <c:v>9.8999999999999999E-4</c:v>
                </c:pt>
                <c:pt idx="3">
                  <c:v>7.2000000000000005E-4</c:v>
                </c:pt>
                <c:pt idx="4">
                  <c:v>0.43659043659043661</c:v>
                </c:pt>
                <c:pt idx="5">
                  <c:v>6.4039408866995071</c:v>
                </c:pt>
                <c:pt idx="6">
                  <c:v>1.3711583924349882</c:v>
                </c:pt>
                <c:pt idx="7">
                  <c:v>1.8323153803442531</c:v>
                </c:pt>
                <c:pt idx="8">
                  <c:v>0.34</c:v>
                </c:pt>
                <c:pt idx="9">
                  <c:v>0.94</c:v>
                </c:pt>
                <c:pt idx="10">
                  <c:v>3.183023872679045</c:v>
                </c:pt>
                <c:pt idx="11">
                  <c:v>6.1139028475711896</c:v>
                </c:pt>
                <c:pt idx="12">
                  <c:v>5.787781350482315</c:v>
                </c:pt>
                <c:pt idx="13">
                  <c:v>4.8399687743950039</c:v>
                </c:pt>
                <c:pt idx="14">
                  <c:v>5.7093425605536332</c:v>
                </c:pt>
                <c:pt idx="15">
                  <c:v>1.69424743892829</c:v>
                </c:pt>
                <c:pt idx="16">
                  <c:v>2.413929560743965</c:v>
                </c:pt>
                <c:pt idx="17">
                  <c:v>1.2909441233140655</c:v>
                </c:pt>
                <c:pt idx="18">
                  <c:v>1.5957446808510638</c:v>
                </c:pt>
                <c:pt idx="19">
                  <c:v>1.1948352283677008</c:v>
                </c:pt>
                <c:pt idx="20">
                  <c:v>6.03</c:v>
                </c:pt>
                <c:pt idx="21">
                  <c:v>0.3</c:v>
                </c:pt>
                <c:pt idx="22">
                  <c:v>0.98</c:v>
                </c:pt>
                <c:pt idx="23">
                  <c:v>1.43</c:v>
                </c:pt>
                <c:pt idx="24">
                  <c:v>1.88</c:v>
                </c:pt>
                <c:pt idx="25">
                  <c:v>1.9444444444444444</c:v>
                </c:pt>
                <c:pt idx="26">
                  <c:v>0.6</c:v>
                </c:pt>
                <c:pt idx="27">
                  <c:v>0.6</c:v>
                </c:pt>
                <c:pt idx="28">
                  <c:v>0.82</c:v>
                </c:pt>
                <c:pt idx="29">
                  <c:v>1.46</c:v>
                </c:pt>
                <c:pt idx="30">
                  <c:v>1.42</c:v>
                </c:pt>
                <c:pt idx="31">
                  <c:v>2.2400000000000002</c:v>
                </c:pt>
                <c:pt idx="32">
                  <c:v>2.5499999999999998</c:v>
                </c:pt>
                <c:pt idx="33">
                  <c:v>2.0699999999999998</c:v>
                </c:pt>
                <c:pt idx="34">
                  <c:v>1.67</c:v>
                </c:pt>
                <c:pt idx="35">
                  <c:v>5.01</c:v>
                </c:pt>
                <c:pt idx="36">
                  <c:v>1.28</c:v>
                </c:pt>
                <c:pt idx="37">
                  <c:v>4.1500000000000004</c:v>
                </c:pt>
                <c:pt idx="38">
                  <c:v>2.0499999999999998</c:v>
                </c:pt>
                <c:pt idx="39">
                  <c:v>4.38</c:v>
                </c:pt>
                <c:pt idx="40">
                  <c:v>0.75</c:v>
                </c:pt>
                <c:pt idx="41">
                  <c:v>2.54</c:v>
                </c:pt>
                <c:pt idx="42">
                  <c:v>3.86</c:v>
                </c:pt>
                <c:pt idx="43">
                  <c:v>4.95</c:v>
                </c:pt>
                <c:pt idx="44">
                  <c:v>1.18</c:v>
                </c:pt>
                <c:pt idx="45">
                  <c:v>1.4</c:v>
                </c:pt>
                <c:pt idx="46">
                  <c:v>2.3199999999999998</c:v>
                </c:pt>
                <c:pt idx="47">
                  <c:v>4.4800000000000004</c:v>
                </c:pt>
                <c:pt idx="48">
                  <c:v>2.1</c:v>
                </c:pt>
                <c:pt idx="49">
                  <c:v>1.49</c:v>
                </c:pt>
                <c:pt idx="50">
                  <c:v>3.37</c:v>
                </c:pt>
                <c:pt idx="51">
                  <c:v>3.48</c:v>
                </c:pt>
                <c:pt idx="52">
                  <c:v>0.56000000000000005</c:v>
                </c:pt>
                <c:pt idx="53">
                  <c:v>1.1000000000000001</c:v>
                </c:pt>
                <c:pt idx="54">
                  <c:v>1.74</c:v>
                </c:pt>
                <c:pt idx="55">
                  <c:v>2.61</c:v>
                </c:pt>
                <c:pt idx="56">
                  <c:v>2.98</c:v>
                </c:pt>
                <c:pt idx="57">
                  <c:v>0.38</c:v>
                </c:pt>
                <c:pt idx="58">
                  <c:v>0.59</c:v>
                </c:pt>
                <c:pt idx="59">
                  <c:v>1.1599999999999999</c:v>
                </c:pt>
                <c:pt idx="60">
                  <c:v>1.47</c:v>
                </c:pt>
                <c:pt idx="61">
                  <c:v>3.42</c:v>
                </c:pt>
                <c:pt idx="62">
                  <c:v>0.99</c:v>
                </c:pt>
                <c:pt idx="63">
                  <c:v>1.8</c:v>
                </c:pt>
                <c:pt idx="64">
                  <c:v>2.1</c:v>
                </c:pt>
                <c:pt idx="65">
                  <c:v>7.73</c:v>
                </c:pt>
                <c:pt idx="66">
                  <c:v>2.13</c:v>
                </c:pt>
                <c:pt idx="67">
                  <c:v>2.34</c:v>
                </c:pt>
                <c:pt idx="68">
                  <c:v>2.2000000000000002</c:v>
                </c:pt>
                <c:pt idx="69">
                  <c:v>2.92</c:v>
                </c:pt>
                <c:pt idx="70">
                  <c:v>0.45</c:v>
                </c:pt>
                <c:pt idx="71">
                  <c:v>0.4</c:v>
                </c:pt>
                <c:pt idx="72">
                  <c:v>0.71</c:v>
                </c:pt>
                <c:pt idx="73">
                  <c:v>0.93</c:v>
                </c:pt>
                <c:pt idx="74">
                  <c:v>1.1200000000000001</c:v>
                </c:pt>
                <c:pt idx="75">
                  <c:v>1.57</c:v>
                </c:pt>
                <c:pt idx="76">
                  <c:v>1.34</c:v>
                </c:pt>
                <c:pt idx="77">
                  <c:v>1.02</c:v>
                </c:pt>
                <c:pt idx="78">
                  <c:v>1.54</c:v>
                </c:pt>
                <c:pt idx="79">
                  <c:v>1.61</c:v>
                </c:pt>
                <c:pt idx="80">
                  <c:v>2.4300000000000002</c:v>
                </c:pt>
                <c:pt idx="81">
                  <c:v>2.57</c:v>
                </c:pt>
                <c:pt idx="82">
                  <c:v>4.1100000000000003</c:v>
                </c:pt>
                <c:pt idx="83">
                  <c:v>4.82</c:v>
                </c:pt>
                <c:pt idx="84">
                  <c:v>6.52</c:v>
                </c:pt>
                <c:pt idx="85">
                  <c:v>1.94</c:v>
                </c:pt>
                <c:pt idx="86">
                  <c:v>1.401098901098901</c:v>
                </c:pt>
                <c:pt idx="87">
                  <c:v>4.4000000000000004</c:v>
                </c:pt>
                <c:pt idx="88">
                  <c:v>0.33</c:v>
                </c:pt>
                <c:pt idx="89">
                  <c:v>1.99</c:v>
                </c:pt>
                <c:pt idx="90">
                  <c:v>1.69</c:v>
                </c:pt>
                <c:pt idx="91">
                  <c:v>0.42</c:v>
                </c:pt>
                <c:pt idx="92">
                  <c:v>1.91</c:v>
                </c:pt>
                <c:pt idx="93">
                  <c:v>1.94</c:v>
                </c:pt>
                <c:pt idx="94">
                  <c:v>0.47</c:v>
                </c:pt>
                <c:pt idx="95">
                  <c:v>1.1100000000000001</c:v>
                </c:pt>
                <c:pt idx="96">
                  <c:v>2.34</c:v>
                </c:pt>
                <c:pt idx="97">
                  <c:v>0.21</c:v>
                </c:pt>
                <c:pt idx="98">
                  <c:v>1.96</c:v>
                </c:pt>
                <c:pt idx="99">
                  <c:v>1.45</c:v>
                </c:pt>
                <c:pt idx="100">
                  <c:v>0.9</c:v>
                </c:pt>
                <c:pt idx="101">
                  <c:v>1.82</c:v>
                </c:pt>
                <c:pt idx="102">
                  <c:v>2.06</c:v>
                </c:pt>
                <c:pt idx="103">
                  <c:v>3.02</c:v>
                </c:pt>
                <c:pt idx="104">
                  <c:v>2.79</c:v>
                </c:pt>
                <c:pt idx="105">
                  <c:v>2.9777392309916162</c:v>
                </c:pt>
                <c:pt idx="106">
                  <c:v>0.62</c:v>
                </c:pt>
                <c:pt idx="107">
                  <c:v>1.5486725663716814</c:v>
                </c:pt>
                <c:pt idx="108">
                  <c:v>4.4400000000000004</c:v>
                </c:pt>
                <c:pt idx="109">
                  <c:v>0.79010649261422194</c:v>
                </c:pt>
                <c:pt idx="110">
                  <c:v>2.1276595744680851</c:v>
                </c:pt>
                <c:pt idx="111">
                  <c:v>2.2117647058823531</c:v>
                </c:pt>
                <c:pt idx="112">
                  <c:v>0.21</c:v>
                </c:pt>
                <c:pt idx="113">
                  <c:v>0.75</c:v>
                </c:pt>
                <c:pt idx="114">
                  <c:v>1.03</c:v>
                </c:pt>
                <c:pt idx="115">
                  <c:v>0.56000000000000005</c:v>
                </c:pt>
                <c:pt idx="116">
                  <c:v>1.52</c:v>
                </c:pt>
                <c:pt idx="117">
                  <c:v>2.15</c:v>
                </c:pt>
                <c:pt idx="118">
                  <c:v>0.64</c:v>
                </c:pt>
                <c:pt idx="119">
                  <c:v>1.5</c:v>
                </c:pt>
                <c:pt idx="120">
                  <c:v>2.58</c:v>
                </c:pt>
                <c:pt idx="121">
                  <c:v>4.263275991024682</c:v>
                </c:pt>
                <c:pt idx="122">
                  <c:v>3.5021097046413501</c:v>
                </c:pt>
                <c:pt idx="123">
                  <c:v>1.4</c:v>
                </c:pt>
                <c:pt idx="124">
                  <c:v>3.2</c:v>
                </c:pt>
                <c:pt idx="125">
                  <c:v>3.6</c:v>
                </c:pt>
                <c:pt idx="126">
                  <c:v>6.6</c:v>
                </c:pt>
                <c:pt idx="127">
                  <c:v>1.7</c:v>
                </c:pt>
                <c:pt idx="128">
                  <c:v>2.7</c:v>
                </c:pt>
                <c:pt idx="129">
                  <c:v>3.6</c:v>
                </c:pt>
                <c:pt idx="130">
                  <c:v>6.6</c:v>
                </c:pt>
                <c:pt idx="131">
                  <c:v>2.4</c:v>
                </c:pt>
                <c:pt idx="132">
                  <c:v>6.6</c:v>
                </c:pt>
                <c:pt idx="133">
                  <c:v>6.9</c:v>
                </c:pt>
                <c:pt idx="134">
                  <c:v>9</c:v>
                </c:pt>
                <c:pt idx="135">
                  <c:v>1.5</c:v>
                </c:pt>
                <c:pt idx="136">
                  <c:v>2.8</c:v>
                </c:pt>
                <c:pt idx="137">
                  <c:v>4.3</c:v>
                </c:pt>
                <c:pt idx="138">
                  <c:v>6.9</c:v>
                </c:pt>
                <c:pt idx="139">
                  <c:v>1</c:v>
                </c:pt>
                <c:pt idx="140">
                  <c:v>1.6</c:v>
                </c:pt>
                <c:pt idx="141">
                  <c:v>1.6</c:v>
                </c:pt>
                <c:pt idx="142">
                  <c:v>3.6</c:v>
                </c:pt>
                <c:pt idx="143">
                  <c:v>0.9</c:v>
                </c:pt>
                <c:pt idx="144">
                  <c:v>1.6</c:v>
                </c:pt>
                <c:pt idx="145">
                  <c:v>2.2000000000000002</c:v>
                </c:pt>
                <c:pt idx="146">
                  <c:v>3.5</c:v>
                </c:pt>
                <c:pt idx="147">
                  <c:v>0.6</c:v>
                </c:pt>
                <c:pt idx="148">
                  <c:v>1.3</c:v>
                </c:pt>
                <c:pt idx="149">
                  <c:v>2.1</c:v>
                </c:pt>
                <c:pt idx="150">
                  <c:v>3.4</c:v>
                </c:pt>
                <c:pt idx="151">
                  <c:v>1.3</c:v>
                </c:pt>
                <c:pt idx="152">
                  <c:v>2.4</c:v>
                </c:pt>
                <c:pt idx="153">
                  <c:v>3.4</c:v>
                </c:pt>
                <c:pt idx="154">
                  <c:v>5.4</c:v>
                </c:pt>
                <c:pt idx="155">
                  <c:v>1.4</c:v>
                </c:pt>
                <c:pt idx="156">
                  <c:v>1.9</c:v>
                </c:pt>
                <c:pt idx="157">
                  <c:v>4</c:v>
                </c:pt>
                <c:pt idx="158">
                  <c:v>6.5</c:v>
                </c:pt>
                <c:pt idx="159">
                  <c:v>1.3</c:v>
                </c:pt>
                <c:pt idx="160">
                  <c:v>1.7</c:v>
                </c:pt>
                <c:pt idx="161">
                  <c:v>3.8</c:v>
                </c:pt>
                <c:pt idx="162">
                  <c:v>6.3</c:v>
                </c:pt>
                <c:pt idx="163">
                  <c:v>0.5</c:v>
                </c:pt>
                <c:pt idx="164">
                  <c:v>1.2</c:v>
                </c:pt>
                <c:pt idx="165">
                  <c:v>1.7</c:v>
                </c:pt>
                <c:pt idx="166">
                  <c:v>3.2</c:v>
                </c:pt>
                <c:pt idx="167">
                  <c:v>1.7136150234741785</c:v>
                </c:pt>
                <c:pt idx="168">
                  <c:v>0.6</c:v>
                </c:pt>
                <c:pt idx="169">
                  <c:v>1.4</c:v>
                </c:pt>
                <c:pt idx="170">
                  <c:v>1.8</c:v>
                </c:pt>
                <c:pt idx="171">
                  <c:v>3.9</c:v>
                </c:pt>
                <c:pt idx="172">
                  <c:v>1.1000000000000001</c:v>
                </c:pt>
                <c:pt idx="173">
                  <c:v>2.1</c:v>
                </c:pt>
                <c:pt idx="174">
                  <c:v>2.1</c:v>
                </c:pt>
                <c:pt idx="175">
                  <c:v>4.5</c:v>
                </c:pt>
                <c:pt idx="176">
                  <c:v>0.9</c:v>
                </c:pt>
                <c:pt idx="177">
                  <c:v>1.4</c:v>
                </c:pt>
                <c:pt idx="178">
                  <c:v>1.8</c:v>
                </c:pt>
                <c:pt idx="179">
                  <c:v>1.7</c:v>
                </c:pt>
                <c:pt idx="180">
                  <c:v>1.2</c:v>
                </c:pt>
                <c:pt idx="181">
                  <c:v>1.5</c:v>
                </c:pt>
                <c:pt idx="182">
                  <c:v>2.1</c:v>
                </c:pt>
                <c:pt idx="183">
                  <c:v>3.4</c:v>
                </c:pt>
                <c:pt idx="184">
                  <c:v>4.838709677419355</c:v>
                </c:pt>
                <c:pt idx="185">
                  <c:v>5.1851851851851851</c:v>
                </c:pt>
                <c:pt idx="186">
                  <c:v>3.3</c:v>
                </c:pt>
                <c:pt idx="187">
                  <c:v>4.5</c:v>
                </c:pt>
                <c:pt idx="188">
                  <c:v>8.9</c:v>
                </c:pt>
                <c:pt idx="189">
                  <c:v>3.0985915492957745</c:v>
                </c:pt>
                <c:pt idx="190">
                  <c:v>4.1420118343195265</c:v>
                </c:pt>
                <c:pt idx="191">
                  <c:v>2.4788732394366195</c:v>
                </c:pt>
                <c:pt idx="192">
                  <c:v>9.473684210526315</c:v>
                </c:pt>
                <c:pt idx="193">
                  <c:v>6.1</c:v>
                </c:pt>
                <c:pt idx="194">
                  <c:v>2.8</c:v>
                </c:pt>
                <c:pt idx="195">
                  <c:v>6.8</c:v>
                </c:pt>
                <c:pt idx="196">
                  <c:v>5.6</c:v>
                </c:pt>
                <c:pt idx="197">
                  <c:v>5.7668711656441713</c:v>
                </c:pt>
                <c:pt idx="198">
                  <c:v>2.2000000000000002</c:v>
                </c:pt>
                <c:pt idx="199">
                  <c:v>4.8</c:v>
                </c:pt>
                <c:pt idx="200">
                  <c:v>8</c:v>
                </c:pt>
                <c:pt idx="201">
                  <c:v>17.399999999999999</c:v>
                </c:pt>
                <c:pt idx="202">
                  <c:v>1.5</c:v>
                </c:pt>
                <c:pt idx="203">
                  <c:v>4.2</c:v>
                </c:pt>
                <c:pt idx="204">
                  <c:v>5.0999999999999996</c:v>
                </c:pt>
                <c:pt idx="205">
                  <c:v>1.5</c:v>
                </c:pt>
                <c:pt idx="206">
                  <c:v>5.5</c:v>
                </c:pt>
                <c:pt idx="207">
                  <c:v>17.399999999999999</c:v>
                </c:pt>
                <c:pt idx="208">
                  <c:v>6.3</c:v>
                </c:pt>
                <c:pt idx="209">
                  <c:v>6.1643835616438354</c:v>
                </c:pt>
                <c:pt idx="210">
                  <c:v>2.9</c:v>
                </c:pt>
                <c:pt idx="211">
                  <c:v>5.5</c:v>
                </c:pt>
                <c:pt idx="212">
                  <c:v>8.5</c:v>
                </c:pt>
                <c:pt idx="213">
                  <c:v>17.7</c:v>
                </c:pt>
                <c:pt idx="214">
                  <c:v>4.5999999999999996</c:v>
                </c:pt>
                <c:pt idx="215">
                  <c:v>5.2</c:v>
                </c:pt>
                <c:pt idx="216">
                  <c:v>4.0999999999999996</c:v>
                </c:pt>
                <c:pt idx="217">
                  <c:v>1.7</c:v>
                </c:pt>
                <c:pt idx="218">
                  <c:v>5.5</c:v>
                </c:pt>
                <c:pt idx="219">
                  <c:v>6</c:v>
                </c:pt>
                <c:pt idx="220">
                  <c:v>5.9</c:v>
                </c:pt>
                <c:pt idx="221">
                  <c:v>9.4</c:v>
                </c:pt>
                <c:pt idx="222">
                  <c:v>11.7</c:v>
                </c:pt>
                <c:pt idx="223">
                  <c:v>15.6</c:v>
                </c:pt>
                <c:pt idx="224">
                  <c:v>23.3</c:v>
                </c:pt>
                <c:pt idx="225">
                  <c:v>3.7</c:v>
                </c:pt>
                <c:pt idx="226">
                  <c:v>4.2</c:v>
                </c:pt>
                <c:pt idx="227">
                  <c:v>11.5</c:v>
                </c:pt>
                <c:pt idx="228">
                  <c:v>11.3</c:v>
                </c:pt>
                <c:pt idx="229">
                  <c:v>11.9</c:v>
                </c:pt>
                <c:pt idx="230">
                  <c:v>30.1</c:v>
                </c:pt>
                <c:pt idx="231">
                  <c:v>10.9</c:v>
                </c:pt>
                <c:pt idx="232">
                  <c:v>14.8</c:v>
                </c:pt>
                <c:pt idx="233">
                  <c:v>16.399999999999999</c:v>
                </c:pt>
                <c:pt idx="234">
                  <c:v>14.3</c:v>
                </c:pt>
                <c:pt idx="235">
                  <c:v>2.8</c:v>
                </c:pt>
                <c:pt idx="236">
                  <c:v>13.2</c:v>
                </c:pt>
                <c:pt idx="237">
                  <c:v>16.7</c:v>
                </c:pt>
                <c:pt idx="238">
                  <c:v>8.6999999999999993</c:v>
                </c:pt>
                <c:pt idx="239">
                  <c:v>11.7</c:v>
                </c:pt>
                <c:pt idx="240">
                  <c:v>15.2</c:v>
                </c:pt>
                <c:pt idx="241">
                  <c:v>26.1</c:v>
                </c:pt>
                <c:pt idx="242">
                  <c:v>7.7262693156732896</c:v>
                </c:pt>
                <c:pt idx="243">
                  <c:v>5.6</c:v>
                </c:pt>
                <c:pt idx="244">
                  <c:v>19.100000000000001</c:v>
                </c:pt>
                <c:pt idx="245">
                  <c:v>4.5999999999999996</c:v>
                </c:pt>
                <c:pt idx="246">
                  <c:v>15.8</c:v>
                </c:pt>
                <c:pt idx="247">
                  <c:v>9.3000000000000007</c:v>
                </c:pt>
                <c:pt idx="248">
                  <c:v>7.98</c:v>
                </c:pt>
                <c:pt idx="249">
                  <c:v>31.6</c:v>
                </c:pt>
                <c:pt idx="250">
                  <c:v>51.39</c:v>
                </c:pt>
                <c:pt idx="251">
                  <c:v>19.96</c:v>
                </c:pt>
                <c:pt idx="252">
                  <c:v>0.76500000000000001</c:v>
                </c:pt>
                <c:pt idx="253">
                  <c:v>4.8000000000000001E-2</c:v>
                </c:pt>
                <c:pt idx="254">
                  <c:v>0.95499999999999996</c:v>
                </c:pt>
                <c:pt idx="255">
                  <c:v>1.609</c:v>
                </c:pt>
                <c:pt idx="256">
                  <c:v>3.4089999999999998</c:v>
                </c:pt>
                <c:pt idx="257">
                  <c:v>5.2519999999999998</c:v>
                </c:pt>
              </c:numCache>
            </c:numRef>
          </c:xVal>
          <c:yVal>
            <c:numRef>
              <c:f>'##BlattmasseHöheKI'!$D$5:$D$262</c:f>
              <c:numCache>
                <c:formatCode>General</c:formatCode>
                <c:ptCount val="258"/>
                <c:pt idx="0">
                  <c:v>0.1171</c:v>
                </c:pt>
                <c:pt idx="1">
                  <c:v>0.12280000000000001</c:v>
                </c:pt>
                <c:pt idx="2">
                  <c:v>0.1159</c:v>
                </c:pt>
                <c:pt idx="3">
                  <c:v>0.1305</c:v>
                </c:pt>
                <c:pt idx="4">
                  <c:v>1.4</c:v>
                </c:pt>
                <c:pt idx="5">
                  <c:v>5.7</c:v>
                </c:pt>
                <c:pt idx="6">
                  <c:v>2.9</c:v>
                </c:pt>
                <c:pt idx="7">
                  <c:v>6.6</c:v>
                </c:pt>
                <c:pt idx="8">
                  <c:v>2.8</c:v>
                </c:pt>
                <c:pt idx="9">
                  <c:v>3.1</c:v>
                </c:pt>
                <c:pt idx="10">
                  <c:v>5.5</c:v>
                </c:pt>
                <c:pt idx="11">
                  <c:v>5.9</c:v>
                </c:pt>
                <c:pt idx="12">
                  <c:v>5.4</c:v>
                </c:pt>
                <c:pt idx="13">
                  <c:v>5</c:v>
                </c:pt>
                <c:pt idx="14">
                  <c:v>5</c:v>
                </c:pt>
                <c:pt idx="15">
                  <c:v>7.7</c:v>
                </c:pt>
                <c:pt idx="16">
                  <c:v>7.2</c:v>
                </c:pt>
                <c:pt idx="17">
                  <c:v>3.6</c:v>
                </c:pt>
                <c:pt idx="18">
                  <c:v>4.9000000000000004</c:v>
                </c:pt>
                <c:pt idx="19">
                  <c:v>5.5</c:v>
                </c:pt>
                <c:pt idx="20">
                  <c:v>7.4</c:v>
                </c:pt>
                <c:pt idx="21">
                  <c:v>5.6</c:v>
                </c:pt>
                <c:pt idx="22">
                  <c:v>8.8000000000000007</c:v>
                </c:pt>
                <c:pt idx="23">
                  <c:v>8.6</c:v>
                </c:pt>
                <c:pt idx="24">
                  <c:v>9.6</c:v>
                </c:pt>
                <c:pt idx="25">
                  <c:v>5.8</c:v>
                </c:pt>
                <c:pt idx="26">
                  <c:v>7.1</c:v>
                </c:pt>
                <c:pt idx="27">
                  <c:v>8.1</c:v>
                </c:pt>
                <c:pt idx="28">
                  <c:v>7.3</c:v>
                </c:pt>
                <c:pt idx="29">
                  <c:v>8.1999999999999993</c:v>
                </c:pt>
                <c:pt idx="30">
                  <c:v>7.6</c:v>
                </c:pt>
                <c:pt idx="31">
                  <c:v>8.6999999999999993</c:v>
                </c:pt>
                <c:pt idx="32">
                  <c:v>6.9</c:v>
                </c:pt>
                <c:pt idx="33">
                  <c:v>6.8</c:v>
                </c:pt>
                <c:pt idx="34">
                  <c:v>7</c:v>
                </c:pt>
                <c:pt idx="35">
                  <c:v>7.8</c:v>
                </c:pt>
                <c:pt idx="36">
                  <c:v>8.1</c:v>
                </c:pt>
                <c:pt idx="37">
                  <c:v>8.3000000000000007</c:v>
                </c:pt>
                <c:pt idx="38">
                  <c:v>8.4</c:v>
                </c:pt>
                <c:pt idx="39">
                  <c:v>8</c:v>
                </c:pt>
                <c:pt idx="40">
                  <c:v>5.8</c:v>
                </c:pt>
                <c:pt idx="41">
                  <c:v>7</c:v>
                </c:pt>
                <c:pt idx="42">
                  <c:v>7.8</c:v>
                </c:pt>
                <c:pt idx="43">
                  <c:v>7.5</c:v>
                </c:pt>
                <c:pt idx="44">
                  <c:v>6.1</c:v>
                </c:pt>
                <c:pt idx="45">
                  <c:v>6.6</c:v>
                </c:pt>
                <c:pt idx="46">
                  <c:v>7.7</c:v>
                </c:pt>
                <c:pt idx="47">
                  <c:v>7.2</c:v>
                </c:pt>
                <c:pt idx="48">
                  <c:v>7.8</c:v>
                </c:pt>
                <c:pt idx="49">
                  <c:v>7.6</c:v>
                </c:pt>
                <c:pt idx="50">
                  <c:v>8.3000000000000007</c:v>
                </c:pt>
                <c:pt idx="51">
                  <c:v>8.6</c:v>
                </c:pt>
                <c:pt idx="52">
                  <c:v>8</c:v>
                </c:pt>
                <c:pt idx="53">
                  <c:v>8.5</c:v>
                </c:pt>
                <c:pt idx="54">
                  <c:v>8.6</c:v>
                </c:pt>
                <c:pt idx="55">
                  <c:v>9.4</c:v>
                </c:pt>
                <c:pt idx="56">
                  <c:v>9.3000000000000007</c:v>
                </c:pt>
                <c:pt idx="57">
                  <c:v>4.5</c:v>
                </c:pt>
                <c:pt idx="58">
                  <c:v>5.4</c:v>
                </c:pt>
                <c:pt idx="59">
                  <c:v>6.3</c:v>
                </c:pt>
                <c:pt idx="60">
                  <c:v>6.2</c:v>
                </c:pt>
                <c:pt idx="61">
                  <c:v>7.2</c:v>
                </c:pt>
                <c:pt idx="62">
                  <c:v>5.9</c:v>
                </c:pt>
                <c:pt idx="63">
                  <c:v>7.6</c:v>
                </c:pt>
                <c:pt idx="64">
                  <c:v>7</c:v>
                </c:pt>
                <c:pt idx="65">
                  <c:v>8.5</c:v>
                </c:pt>
                <c:pt idx="66">
                  <c:v>6.8</c:v>
                </c:pt>
                <c:pt idx="67">
                  <c:v>7.4</c:v>
                </c:pt>
                <c:pt idx="68">
                  <c:v>7.5</c:v>
                </c:pt>
                <c:pt idx="69">
                  <c:v>7.7</c:v>
                </c:pt>
                <c:pt idx="70">
                  <c:v>5.8</c:v>
                </c:pt>
                <c:pt idx="71">
                  <c:v>7</c:v>
                </c:pt>
                <c:pt idx="72">
                  <c:v>6.6</c:v>
                </c:pt>
                <c:pt idx="73">
                  <c:v>7.2</c:v>
                </c:pt>
                <c:pt idx="74">
                  <c:v>7</c:v>
                </c:pt>
                <c:pt idx="75">
                  <c:v>8.5</c:v>
                </c:pt>
                <c:pt idx="76">
                  <c:v>7.9</c:v>
                </c:pt>
                <c:pt idx="77">
                  <c:v>7.8</c:v>
                </c:pt>
                <c:pt idx="78">
                  <c:v>8.4</c:v>
                </c:pt>
                <c:pt idx="79">
                  <c:v>8.6</c:v>
                </c:pt>
                <c:pt idx="80">
                  <c:v>8.6</c:v>
                </c:pt>
                <c:pt idx="81">
                  <c:v>8.8000000000000007</c:v>
                </c:pt>
                <c:pt idx="82">
                  <c:v>9.4</c:v>
                </c:pt>
                <c:pt idx="83">
                  <c:v>9.1999999999999993</c:v>
                </c:pt>
                <c:pt idx="84">
                  <c:v>9</c:v>
                </c:pt>
                <c:pt idx="85">
                  <c:v>9.8000000000000007</c:v>
                </c:pt>
                <c:pt idx="86">
                  <c:v>8.1999999999999993</c:v>
                </c:pt>
                <c:pt idx="87">
                  <c:v>14.9</c:v>
                </c:pt>
                <c:pt idx="88">
                  <c:v>6.4</c:v>
                </c:pt>
                <c:pt idx="89">
                  <c:v>9</c:v>
                </c:pt>
                <c:pt idx="90">
                  <c:v>8.6</c:v>
                </c:pt>
                <c:pt idx="91">
                  <c:v>9.4</c:v>
                </c:pt>
                <c:pt idx="92">
                  <c:v>11.6</c:v>
                </c:pt>
                <c:pt idx="93">
                  <c:v>11.6</c:v>
                </c:pt>
                <c:pt idx="94">
                  <c:v>11</c:v>
                </c:pt>
                <c:pt idx="95">
                  <c:v>12</c:v>
                </c:pt>
                <c:pt idx="96">
                  <c:v>12.6</c:v>
                </c:pt>
                <c:pt idx="97">
                  <c:v>8</c:v>
                </c:pt>
                <c:pt idx="98">
                  <c:v>10.8</c:v>
                </c:pt>
                <c:pt idx="99">
                  <c:v>9</c:v>
                </c:pt>
                <c:pt idx="100">
                  <c:v>9.1</c:v>
                </c:pt>
                <c:pt idx="101">
                  <c:v>9.6</c:v>
                </c:pt>
                <c:pt idx="102">
                  <c:v>12.4</c:v>
                </c:pt>
                <c:pt idx="103">
                  <c:v>12.6</c:v>
                </c:pt>
                <c:pt idx="104">
                  <c:v>10.4</c:v>
                </c:pt>
                <c:pt idx="105">
                  <c:v>13.7</c:v>
                </c:pt>
                <c:pt idx="106">
                  <c:v>9</c:v>
                </c:pt>
                <c:pt idx="107">
                  <c:v>13.3</c:v>
                </c:pt>
                <c:pt idx="108">
                  <c:v>10.199999999999999</c:v>
                </c:pt>
                <c:pt idx="109">
                  <c:v>6.4</c:v>
                </c:pt>
                <c:pt idx="110">
                  <c:v>13.4</c:v>
                </c:pt>
                <c:pt idx="111">
                  <c:v>11.9</c:v>
                </c:pt>
                <c:pt idx="112">
                  <c:v>8.4</c:v>
                </c:pt>
                <c:pt idx="113">
                  <c:v>10.199999999999999</c:v>
                </c:pt>
                <c:pt idx="114">
                  <c:v>11.2</c:v>
                </c:pt>
                <c:pt idx="115">
                  <c:v>11.8</c:v>
                </c:pt>
                <c:pt idx="116">
                  <c:v>13.6</c:v>
                </c:pt>
                <c:pt idx="117">
                  <c:v>14.2</c:v>
                </c:pt>
                <c:pt idx="118">
                  <c:v>13.4</c:v>
                </c:pt>
                <c:pt idx="119">
                  <c:v>15</c:v>
                </c:pt>
                <c:pt idx="120">
                  <c:v>14.6</c:v>
                </c:pt>
                <c:pt idx="121">
                  <c:v>14.8</c:v>
                </c:pt>
                <c:pt idx="122">
                  <c:v>12.6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11</c:v>
                </c:pt>
                <c:pt idx="128">
                  <c:v>13</c:v>
                </c:pt>
                <c:pt idx="129">
                  <c:v>13</c:v>
                </c:pt>
                <c:pt idx="130">
                  <c:v>13</c:v>
                </c:pt>
                <c:pt idx="131">
                  <c:v>11</c:v>
                </c:pt>
                <c:pt idx="132">
                  <c:v>13</c:v>
                </c:pt>
                <c:pt idx="133">
                  <c:v>14</c:v>
                </c:pt>
                <c:pt idx="134">
                  <c:v>13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10</c:v>
                </c:pt>
                <c:pt idx="141">
                  <c:v>10</c:v>
                </c:pt>
                <c:pt idx="142">
                  <c:v>11</c:v>
                </c:pt>
                <c:pt idx="143">
                  <c:v>9</c:v>
                </c:pt>
                <c:pt idx="144">
                  <c:v>9</c:v>
                </c:pt>
                <c:pt idx="145">
                  <c:v>10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16</c:v>
                </c:pt>
                <c:pt idx="153">
                  <c:v>17</c:v>
                </c:pt>
                <c:pt idx="154">
                  <c:v>17</c:v>
                </c:pt>
                <c:pt idx="155">
                  <c:v>15</c:v>
                </c:pt>
                <c:pt idx="156">
                  <c:v>16</c:v>
                </c:pt>
                <c:pt idx="157">
                  <c:v>18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16</c:v>
                </c:pt>
                <c:pt idx="162">
                  <c:v>18</c:v>
                </c:pt>
                <c:pt idx="163">
                  <c:v>11</c:v>
                </c:pt>
                <c:pt idx="164">
                  <c:v>12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7</c:v>
                </c:pt>
                <c:pt idx="176">
                  <c:v>5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15.1</c:v>
                </c:pt>
                <c:pt idx="185">
                  <c:v>14.2</c:v>
                </c:pt>
                <c:pt idx="186">
                  <c:v>21</c:v>
                </c:pt>
                <c:pt idx="187">
                  <c:v>22</c:v>
                </c:pt>
                <c:pt idx="188">
                  <c:v>22</c:v>
                </c:pt>
                <c:pt idx="189">
                  <c:v>15.4</c:v>
                </c:pt>
                <c:pt idx="190">
                  <c:v>12</c:v>
                </c:pt>
                <c:pt idx="191">
                  <c:v>14.8</c:v>
                </c:pt>
                <c:pt idx="192">
                  <c:v>16</c:v>
                </c:pt>
                <c:pt idx="193">
                  <c:v>21</c:v>
                </c:pt>
                <c:pt idx="194">
                  <c:v>25</c:v>
                </c:pt>
                <c:pt idx="195">
                  <c:v>28</c:v>
                </c:pt>
                <c:pt idx="196">
                  <c:v>25</c:v>
                </c:pt>
                <c:pt idx="197">
                  <c:v>16.5</c:v>
                </c:pt>
                <c:pt idx="198">
                  <c:v>21</c:v>
                </c:pt>
                <c:pt idx="199">
                  <c:v>24</c:v>
                </c:pt>
                <c:pt idx="200">
                  <c:v>25</c:v>
                </c:pt>
                <c:pt idx="201">
                  <c:v>25</c:v>
                </c:pt>
                <c:pt idx="202">
                  <c:v>17</c:v>
                </c:pt>
                <c:pt idx="203">
                  <c:v>18</c:v>
                </c:pt>
                <c:pt idx="204">
                  <c:v>17</c:v>
                </c:pt>
                <c:pt idx="205">
                  <c:v>21</c:v>
                </c:pt>
                <c:pt idx="206">
                  <c:v>26</c:v>
                </c:pt>
                <c:pt idx="207">
                  <c:v>27</c:v>
                </c:pt>
                <c:pt idx="208">
                  <c:v>27</c:v>
                </c:pt>
                <c:pt idx="209">
                  <c:v>17.100000000000001</c:v>
                </c:pt>
                <c:pt idx="210">
                  <c:v>27</c:v>
                </c:pt>
                <c:pt idx="211">
                  <c:v>29</c:v>
                </c:pt>
                <c:pt idx="212">
                  <c:v>31</c:v>
                </c:pt>
                <c:pt idx="213">
                  <c:v>31</c:v>
                </c:pt>
                <c:pt idx="214">
                  <c:v>21</c:v>
                </c:pt>
                <c:pt idx="215">
                  <c:v>21</c:v>
                </c:pt>
                <c:pt idx="216">
                  <c:v>21</c:v>
                </c:pt>
                <c:pt idx="217">
                  <c:v>26</c:v>
                </c:pt>
                <c:pt idx="218">
                  <c:v>28</c:v>
                </c:pt>
                <c:pt idx="219">
                  <c:v>27</c:v>
                </c:pt>
                <c:pt idx="220">
                  <c:v>27</c:v>
                </c:pt>
                <c:pt idx="221">
                  <c:v>29</c:v>
                </c:pt>
                <c:pt idx="222">
                  <c:v>20</c:v>
                </c:pt>
                <c:pt idx="223">
                  <c:v>24</c:v>
                </c:pt>
                <c:pt idx="224">
                  <c:v>22</c:v>
                </c:pt>
                <c:pt idx="225">
                  <c:v>21</c:v>
                </c:pt>
                <c:pt idx="226">
                  <c:v>28</c:v>
                </c:pt>
                <c:pt idx="227">
                  <c:v>30</c:v>
                </c:pt>
                <c:pt idx="228">
                  <c:v>30</c:v>
                </c:pt>
                <c:pt idx="229">
                  <c:v>28</c:v>
                </c:pt>
                <c:pt idx="230">
                  <c:v>31</c:v>
                </c:pt>
                <c:pt idx="231">
                  <c:v>29</c:v>
                </c:pt>
                <c:pt idx="232">
                  <c:v>30</c:v>
                </c:pt>
                <c:pt idx="233">
                  <c:v>31</c:v>
                </c:pt>
                <c:pt idx="234">
                  <c:v>31</c:v>
                </c:pt>
                <c:pt idx="235">
                  <c:v>27</c:v>
                </c:pt>
                <c:pt idx="236">
                  <c:v>32</c:v>
                </c:pt>
                <c:pt idx="237">
                  <c:v>33</c:v>
                </c:pt>
                <c:pt idx="238">
                  <c:v>31</c:v>
                </c:pt>
                <c:pt idx="239">
                  <c:v>32</c:v>
                </c:pt>
                <c:pt idx="240">
                  <c:v>30</c:v>
                </c:pt>
                <c:pt idx="241">
                  <c:v>34</c:v>
                </c:pt>
                <c:pt idx="242">
                  <c:v>19.2</c:v>
                </c:pt>
                <c:pt idx="243">
                  <c:v>32</c:v>
                </c:pt>
                <c:pt idx="244">
                  <c:v>25</c:v>
                </c:pt>
                <c:pt idx="245">
                  <c:v>22</c:v>
                </c:pt>
                <c:pt idx="246">
                  <c:v>31</c:v>
                </c:pt>
                <c:pt idx="247">
                  <c:v>33</c:v>
                </c:pt>
                <c:pt idx="248">
                  <c:v>31.5</c:v>
                </c:pt>
                <c:pt idx="249">
                  <c:v>33.299999999999997</c:v>
                </c:pt>
                <c:pt idx="250">
                  <c:v>32.5</c:v>
                </c:pt>
                <c:pt idx="251">
                  <c:v>29.5</c:v>
                </c:pt>
                <c:pt idx="252">
                  <c:v>4.0999999999999996</c:v>
                </c:pt>
                <c:pt idx="253">
                  <c:v>1.65</c:v>
                </c:pt>
                <c:pt idx="254">
                  <c:v>8.8000000000000007</c:v>
                </c:pt>
                <c:pt idx="255">
                  <c:v>21.33</c:v>
                </c:pt>
                <c:pt idx="256">
                  <c:v>24</c:v>
                </c:pt>
                <c:pt idx="257">
                  <c:v>22.65</c:v>
                </c:pt>
              </c:numCache>
            </c:numRef>
          </c:yVal>
          <c:smooth val="0"/>
        </c:ser>
        <c:ser>
          <c:idx val="1"/>
          <c:order val="1"/>
          <c:tx>
            <c:v>Vanninen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[1]Vanninen!$B$27:$S$27</c:f>
              <c:numCache>
                <c:formatCode>General</c:formatCode>
                <c:ptCount val="18"/>
                <c:pt idx="0">
                  <c:v>3.4</c:v>
                </c:pt>
                <c:pt idx="1">
                  <c:v>4.8</c:v>
                </c:pt>
                <c:pt idx="2">
                  <c:v>6.7</c:v>
                </c:pt>
                <c:pt idx="3">
                  <c:v>7.7</c:v>
                </c:pt>
                <c:pt idx="4">
                  <c:v>7</c:v>
                </c:pt>
                <c:pt idx="5">
                  <c:v>11.3</c:v>
                </c:pt>
                <c:pt idx="6">
                  <c:v>8.6</c:v>
                </c:pt>
                <c:pt idx="7">
                  <c:v>13.5</c:v>
                </c:pt>
                <c:pt idx="8">
                  <c:v>19.3</c:v>
                </c:pt>
                <c:pt idx="9">
                  <c:v>18.7</c:v>
                </c:pt>
                <c:pt idx="10">
                  <c:v>4.2</c:v>
                </c:pt>
                <c:pt idx="11">
                  <c:v>3.8</c:v>
                </c:pt>
                <c:pt idx="12">
                  <c:v>11.6</c:v>
                </c:pt>
                <c:pt idx="13">
                  <c:v>12.7</c:v>
                </c:pt>
                <c:pt idx="14">
                  <c:v>12.1</c:v>
                </c:pt>
                <c:pt idx="15">
                  <c:v>7</c:v>
                </c:pt>
                <c:pt idx="16">
                  <c:v>12.9</c:v>
                </c:pt>
                <c:pt idx="17">
                  <c:v>16</c:v>
                </c:pt>
              </c:numCache>
            </c:numRef>
          </c:xVal>
          <c:yVal>
            <c:numRef>
              <c:f>[1]Vanninen!$B$18:$S$18</c:f>
              <c:numCache>
                <c:formatCode>General</c:formatCode>
                <c:ptCount val="18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14</c:v>
                </c:pt>
                <c:pt idx="4">
                  <c:v>13</c:v>
                </c:pt>
                <c:pt idx="5">
                  <c:v>14</c:v>
                </c:pt>
                <c:pt idx="6">
                  <c:v>20</c:v>
                </c:pt>
                <c:pt idx="7">
                  <c:v>23</c:v>
                </c:pt>
                <c:pt idx="8">
                  <c:v>26</c:v>
                </c:pt>
                <c:pt idx="9">
                  <c:v>26</c:v>
                </c:pt>
                <c:pt idx="10">
                  <c:v>5</c:v>
                </c:pt>
                <c:pt idx="11">
                  <c:v>6</c:v>
                </c:pt>
                <c:pt idx="12">
                  <c:v>17</c:v>
                </c:pt>
                <c:pt idx="13">
                  <c:v>18</c:v>
                </c:pt>
                <c:pt idx="14">
                  <c:v>22</c:v>
                </c:pt>
                <c:pt idx="15">
                  <c:v>25</c:v>
                </c:pt>
                <c:pt idx="16">
                  <c:v>32</c:v>
                </c:pt>
                <c:pt idx="17">
                  <c:v>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22816"/>
        <c:axId val="218723392"/>
      </c:scatterChart>
      <c:valAx>
        <c:axId val="21872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Blattmasse in kg TS</a:t>
                </a:r>
              </a:p>
            </c:rich>
          </c:tx>
          <c:layout>
            <c:manualLayout>
              <c:xMode val="edge"/>
              <c:yMode val="edge"/>
              <c:x val="0.42595945236575161"/>
              <c:y val="0.8774860328540626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723392"/>
        <c:crosses val="autoZero"/>
        <c:crossBetween val="midCat"/>
      </c:valAx>
      <c:valAx>
        <c:axId val="218723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Höhe in m</a:t>
                </a:r>
              </a:p>
            </c:rich>
          </c:tx>
          <c:layout>
            <c:manualLayout>
              <c:xMode val="edge"/>
              <c:yMode val="edge"/>
              <c:x val="1.7297864793927788E-2"/>
              <c:y val="0.425126806199149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72281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8325220969000497"/>
          <c:y val="0.94405406585901419"/>
          <c:w val="0.49082636021848625"/>
          <c:h val="4.538720859589984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Blattmasse-Höhen-Beziehung Kiefer</a:t>
            </a:r>
          </a:p>
        </c:rich>
      </c:tx>
      <c:layout>
        <c:manualLayout>
          <c:xMode val="edge"/>
          <c:yMode val="edge"/>
          <c:x val="0.27587078016110056"/>
          <c:y val="2.7778689122193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830582078709563E-2"/>
          <c:y val="0.16146354026131307"/>
          <c:w val="0.86101858046464697"/>
          <c:h val="0.6215478216510761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'##BlattmasseHöheKI (2)'!$F$5:$F$233</c:f>
              <c:numCache>
                <c:formatCode>0.00</c:formatCode>
                <c:ptCount val="229"/>
                <c:pt idx="0">
                  <c:v>9.7000000000000005E-4</c:v>
                </c:pt>
                <c:pt idx="1">
                  <c:v>1.2199999999999999E-3</c:v>
                </c:pt>
                <c:pt idx="2">
                  <c:v>9.8999999999999999E-4</c:v>
                </c:pt>
                <c:pt idx="3">
                  <c:v>7.2000000000000005E-4</c:v>
                </c:pt>
                <c:pt idx="4">
                  <c:v>2.0699999999999998</c:v>
                </c:pt>
                <c:pt idx="5">
                  <c:v>0.75</c:v>
                </c:pt>
                <c:pt idx="6">
                  <c:v>1.18</c:v>
                </c:pt>
                <c:pt idx="7">
                  <c:v>1.4</c:v>
                </c:pt>
                <c:pt idx="8">
                  <c:v>1.49</c:v>
                </c:pt>
                <c:pt idx="9">
                  <c:v>0.56000000000000005</c:v>
                </c:pt>
                <c:pt idx="10">
                  <c:v>0.38</c:v>
                </c:pt>
                <c:pt idx="11">
                  <c:v>0.59</c:v>
                </c:pt>
                <c:pt idx="12">
                  <c:v>0.99</c:v>
                </c:pt>
                <c:pt idx="13">
                  <c:v>2.13</c:v>
                </c:pt>
                <c:pt idx="14">
                  <c:v>0.45</c:v>
                </c:pt>
                <c:pt idx="15">
                  <c:v>0.4</c:v>
                </c:pt>
                <c:pt idx="16">
                  <c:v>0.93</c:v>
                </c:pt>
                <c:pt idx="17">
                  <c:v>1.57</c:v>
                </c:pt>
                <c:pt idx="18">
                  <c:v>1.34</c:v>
                </c:pt>
                <c:pt idx="19">
                  <c:v>1.02</c:v>
                </c:pt>
                <c:pt idx="20">
                  <c:v>1.61</c:v>
                </c:pt>
                <c:pt idx="21">
                  <c:v>0.33</c:v>
                </c:pt>
                <c:pt idx="22">
                  <c:v>0.42</c:v>
                </c:pt>
                <c:pt idx="23">
                  <c:v>0.47</c:v>
                </c:pt>
                <c:pt idx="24">
                  <c:v>0.9</c:v>
                </c:pt>
                <c:pt idx="25">
                  <c:v>0.62</c:v>
                </c:pt>
                <c:pt idx="26">
                  <c:v>0.21</c:v>
                </c:pt>
                <c:pt idx="27">
                  <c:v>0.56000000000000005</c:v>
                </c:pt>
                <c:pt idx="28">
                  <c:v>0.64</c:v>
                </c:pt>
                <c:pt idx="29">
                  <c:v>1.4</c:v>
                </c:pt>
                <c:pt idx="30">
                  <c:v>1.7</c:v>
                </c:pt>
                <c:pt idx="31">
                  <c:v>1.5</c:v>
                </c:pt>
                <c:pt idx="32">
                  <c:v>1</c:v>
                </c:pt>
                <c:pt idx="33">
                  <c:v>0.9</c:v>
                </c:pt>
                <c:pt idx="34">
                  <c:v>0.6</c:v>
                </c:pt>
                <c:pt idx="35">
                  <c:v>2.4</c:v>
                </c:pt>
                <c:pt idx="36">
                  <c:v>1.9</c:v>
                </c:pt>
                <c:pt idx="37">
                  <c:v>1.7</c:v>
                </c:pt>
                <c:pt idx="38">
                  <c:v>1.42</c:v>
                </c:pt>
                <c:pt idx="39">
                  <c:v>0.98</c:v>
                </c:pt>
                <c:pt idx="40">
                  <c:v>2.8</c:v>
                </c:pt>
                <c:pt idx="41">
                  <c:v>2.8</c:v>
                </c:pt>
                <c:pt idx="42">
                  <c:v>6.03</c:v>
                </c:pt>
                <c:pt idx="43">
                  <c:v>0.9</c:v>
                </c:pt>
                <c:pt idx="44">
                  <c:v>1.1000000000000001</c:v>
                </c:pt>
                <c:pt idx="45">
                  <c:v>0.5</c:v>
                </c:pt>
                <c:pt idx="46">
                  <c:v>1.88</c:v>
                </c:pt>
                <c:pt idx="47">
                  <c:v>3.7</c:v>
                </c:pt>
                <c:pt idx="48">
                  <c:v>2.2000000000000002</c:v>
                </c:pt>
                <c:pt idx="49">
                  <c:v>4.2</c:v>
                </c:pt>
                <c:pt idx="50">
                  <c:v>1.43</c:v>
                </c:pt>
                <c:pt idx="51">
                  <c:v>0.82</c:v>
                </c:pt>
                <c:pt idx="52">
                  <c:v>2.2400000000000002</c:v>
                </c:pt>
                <c:pt idx="53">
                  <c:v>2.5499999999999998</c:v>
                </c:pt>
                <c:pt idx="54">
                  <c:v>5.01</c:v>
                </c:pt>
                <c:pt idx="55">
                  <c:v>4.1500000000000004</c:v>
                </c:pt>
                <c:pt idx="56">
                  <c:v>2.0499999999999998</c:v>
                </c:pt>
                <c:pt idx="57">
                  <c:v>4.38</c:v>
                </c:pt>
                <c:pt idx="58">
                  <c:v>3.86</c:v>
                </c:pt>
                <c:pt idx="59">
                  <c:v>4.95</c:v>
                </c:pt>
                <c:pt idx="60">
                  <c:v>4.4800000000000004</c:v>
                </c:pt>
                <c:pt idx="61">
                  <c:v>3.37</c:v>
                </c:pt>
                <c:pt idx="62">
                  <c:v>3.48</c:v>
                </c:pt>
                <c:pt idx="63">
                  <c:v>2.61</c:v>
                </c:pt>
                <c:pt idx="64">
                  <c:v>2.98</c:v>
                </c:pt>
                <c:pt idx="65">
                  <c:v>3.42</c:v>
                </c:pt>
                <c:pt idx="66">
                  <c:v>7.73</c:v>
                </c:pt>
                <c:pt idx="67">
                  <c:v>2.92</c:v>
                </c:pt>
                <c:pt idx="68">
                  <c:v>1.54</c:v>
                </c:pt>
                <c:pt idx="69">
                  <c:v>4.82</c:v>
                </c:pt>
                <c:pt idx="70">
                  <c:v>1.69</c:v>
                </c:pt>
                <c:pt idx="71">
                  <c:v>1.94</c:v>
                </c:pt>
                <c:pt idx="72">
                  <c:v>2.34</c:v>
                </c:pt>
                <c:pt idx="73">
                  <c:v>3.02</c:v>
                </c:pt>
                <c:pt idx="74">
                  <c:v>2.79</c:v>
                </c:pt>
                <c:pt idx="75">
                  <c:v>4.4400000000000004</c:v>
                </c:pt>
                <c:pt idx="76">
                  <c:v>2.58</c:v>
                </c:pt>
                <c:pt idx="77">
                  <c:v>3.6</c:v>
                </c:pt>
                <c:pt idx="78">
                  <c:v>6.6</c:v>
                </c:pt>
                <c:pt idx="79">
                  <c:v>3.6</c:v>
                </c:pt>
                <c:pt idx="80">
                  <c:v>6.6</c:v>
                </c:pt>
                <c:pt idx="81">
                  <c:v>6.6</c:v>
                </c:pt>
                <c:pt idx="82">
                  <c:v>6.9</c:v>
                </c:pt>
                <c:pt idx="83">
                  <c:v>9</c:v>
                </c:pt>
                <c:pt idx="84">
                  <c:v>4.3</c:v>
                </c:pt>
                <c:pt idx="85">
                  <c:v>6.9</c:v>
                </c:pt>
                <c:pt idx="86">
                  <c:v>3.6</c:v>
                </c:pt>
                <c:pt idx="87">
                  <c:v>2.2000000000000002</c:v>
                </c:pt>
                <c:pt idx="88">
                  <c:v>3.5</c:v>
                </c:pt>
                <c:pt idx="89">
                  <c:v>3.4</c:v>
                </c:pt>
                <c:pt idx="90">
                  <c:v>5.4</c:v>
                </c:pt>
                <c:pt idx="91">
                  <c:v>1.4</c:v>
                </c:pt>
                <c:pt idx="92">
                  <c:v>6.5</c:v>
                </c:pt>
                <c:pt idx="93">
                  <c:v>1.3</c:v>
                </c:pt>
                <c:pt idx="94">
                  <c:v>3.8</c:v>
                </c:pt>
                <c:pt idx="95">
                  <c:v>6.3</c:v>
                </c:pt>
                <c:pt idx="96">
                  <c:v>1.7</c:v>
                </c:pt>
                <c:pt idx="97">
                  <c:v>3.2</c:v>
                </c:pt>
                <c:pt idx="98">
                  <c:v>1.8</c:v>
                </c:pt>
                <c:pt idx="99">
                  <c:v>3.9</c:v>
                </c:pt>
                <c:pt idx="100">
                  <c:v>2.1</c:v>
                </c:pt>
                <c:pt idx="101">
                  <c:v>4.5</c:v>
                </c:pt>
                <c:pt idx="102">
                  <c:v>1.8</c:v>
                </c:pt>
                <c:pt idx="103">
                  <c:v>1.7</c:v>
                </c:pt>
                <c:pt idx="104">
                  <c:v>2.1</c:v>
                </c:pt>
                <c:pt idx="105">
                  <c:v>3.4</c:v>
                </c:pt>
                <c:pt idx="106">
                  <c:v>8.9</c:v>
                </c:pt>
                <c:pt idx="107">
                  <c:v>6.1</c:v>
                </c:pt>
                <c:pt idx="108">
                  <c:v>6.8</c:v>
                </c:pt>
                <c:pt idx="109">
                  <c:v>5.6</c:v>
                </c:pt>
                <c:pt idx="110">
                  <c:v>8</c:v>
                </c:pt>
                <c:pt idx="111">
                  <c:v>17.399999999999999</c:v>
                </c:pt>
                <c:pt idx="112">
                  <c:v>4.2</c:v>
                </c:pt>
                <c:pt idx="113">
                  <c:v>17.399999999999999</c:v>
                </c:pt>
                <c:pt idx="114">
                  <c:v>6.3</c:v>
                </c:pt>
                <c:pt idx="115">
                  <c:v>8.5</c:v>
                </c:pt>
                <c:pt idx="116">
                  <c:v>17.7</c:v>
                </c:pt>
                <c:pt idx="117">
                  <c:v>4.0999999999999996</c:v>
                </c:pt>
                <c:pt idx="118">
                  <c:v>9.4</c:v>
                </c:pt>
                <c:pt idx="119">
                  <c:v>15.6</c:v>
                </c:pt>
                <c:pt idx="120">
                  <c:v>23.3</c:v>
                </c:pt>
                <c:pt idx="121">
                  <c:v>11.9</c:v>
                </c:pt>
                <c:pt idx="122">
                  <c:v>30.1</c:v>
                </c:pt>
                <c:pt idx="123">
                  <c:v>14.8</c:v>
                </c:pt>
                <c:pt idx="124">
                  <c:v>16.399999999999999</c:v>
                </c:pt>
                <c:pt idx="125">
                  <c:v>14.3</c:v>
                </c:pt>
                <c:pt idx="126">
                  <c:v>16.7</c:v>
                </c:pt>
                <c:pt idx="127">
                  <c:v>8.6999999999999993</c:v>
                </c:pt>
                <c:pt idx="128">
                  <c:v>15.2</c:v>
                </c:pt>
                <c:pt idx="129">
                  <c:v>26.1</c:v>
                </c:pt>
                <c:pt idx="130">
                  <c:v>19.100000000000001</c:v>
                </c:pt>
                <c:pt idx="131">
                  <c:v>4.5999999999999996</c:v>
                </c:pt>
                <c:pt idx="132">
                  <c:v>15.8</c:v>
                </c:pt>
                <c:pt idx="133">
                  <c:v>9.3000000000000007</c:v>
                </c:pt>
                <c:pt idx="134">
                  <c:v>0.6</c:v>
                </c:pt>
                <c:pt idx="135">
                  <c:v>0.6</c:v>
                </c:pt>
                <c:pt idx="136">
                  <c:v>1.46</c:v>
                </c:pt>
                <c:pt idx="137">
                  <c:v>1.67</c:v>
                </c:pt>
                <c:pt idx="138">
                  <c:v>1.28</c:v>
                </c:pt>
                <c:pt idx="139">
                  <c:v>2.54</c:v>
                </c:pt>
                <c:pt idx="140">
                  <c:v>2.3199999999999998</c:v>
                </c:pt>
                <c:pt idx="141">
                  <c:v>2.1</c:v>
                </c:pt>
                <c:pt idx="142">
                  <c:v>1.1000000000000001</c:v>
                </c:pt>
                <c:pt idx="143">
                  <c:v>1.74</c:v>
                </c:pt>
                <c:pt idx="144">
                  <c:v>1.1599999999999999</c:v>
                </c:pt>
                <c:pt idx="145">
                  <c:v>1.47</c:v>
                </c:pt>
                <c:pt idx="146">
                  <c:v>1.8</c:v>
                </c:pt>
                <c:pt idx="147">
                  <c:v>2.1</c:v>
                </c:pt>
                <c:pt idx="148">
                  <c:v>2.34</c:v>
                </c:pt>
                <c:pt idx="149">
                  <c:v>2.2000000000000002</c:v>
                </c:pt>
                <c:pt idx="150">
                  <c:v>0.71</c:v>
                </c:pt>
                <c:pt idx="151">
                  <c:v>1.1200000000000001</c:v>
                </c:pt>
                <c:pt idx="152">
                  <c:v>2.4300000000000002</c:v>
                </c:pt>
                <c:pt idx="153">
                  <c:v>2.57</c:v>
                </c:pt>
                <c:pt idx="154">
                  <c:v>4.1100000000000003</c:v>
                </c:pt>
                <c:pt idx="155">
                  <c:v>6.52</c:v>
                </c:pt>
                <c:pt idx="156">
                  <c:v>1.94</c:v>
                </c:pt>
                <c:pt idx="157">
                  <c:v>1.99</c:v>
                </c:pt>
                <c:pt idx="158">
                  <c:v>1.91</c:v>
                </c:pt>
                <c:pt idx="159">
                  <c:v>1.1100000000000001</c:v>
                </c:pt>
                <c:pt idx="160">
                  <c:v>1.96</c:v>
                </c:pt>
                <c:pt idx="161">
                  <c:v>1.45</c:v>
                </c:pt>
                <c:pt idx="162">
                  <c:v>1.82</c:v>
                </c:pt>
                <c:pt idx="163">
                  <c:v>2.06</c:v>
                </c:pt>
                <c:pt idx="164">
                  <c:v>0.75</c:v>
                </c:pt>
                <c:pt idx="165">
                  <c:v>1.03</c:v>
                </c:pt>
                <c:pt idx="166">
                  <c:v>1.52</c:v>
                </c:pt>
                <c:pt idx="167">
                  <c:v>2.15</c:v>
                </c:pt>
                <c:pt idx="168">
                  <c:v>1.5</c:v>
                </c:pt>
                <c:pt idx="169">
                  <c:v>3.2</c:v>
                </c:pt>
                <c:pt idx="170">
                  <c:v>2.7</c:v>
                </c:pt>
                <c:pt idx="171">
                  <c:v>2.4</c:v>
                </c:pt>
                <c:pt idx="172">
                  <c:v>2.8</c:v>
                </c:pt>
                <c:pt idx="173">
                  <c:v>1.6</c:v>
                </c:pt>
                <c:pt idx="174">
                  <c:v>1.6</c:v>
                </c:pt>
                <c:pt idx="175">
                  <c:v>1.6</c:v>
                </c:pt>
                <c:pt idx="176">
                  <c:v>1.3</c:v>
                </c:pt>
                <c:pt idx="177">
                  <c:v>2.1</c:v>
                </c:pt>
                <c:pt idx="178">
                  <c:v>3.4</c:v>
                </c:pt>
                <c:pt idx="179">
                  <c:v>4</c:v>
                </c:pt>
                <c:pt idx="180">
                  <c:v>1.3</c:v>
                </c:pt>
                <c:pt idx="181">
                  <c:v>1.2</c:v>
                </c:pt>
                <c:pt idx="182">
                  <c:v>0.6</c:v>
                </c:pt>
                <c:pt idx="183">
                  <c:v>1.4</c:v>
                </c:pt>
                <c:pt idx="184">
                  <c:v>2.1</c:v>
                </c:pt>
                <c:pt idx="185">
                  <c:v>1.4</c:v>
                </c:pt>
                <c:pt idx="186">
                  <c:v>1.2</c:v>
                </c:pt>
                <c:pt idx="187">
                  <c:v>1.5</c:v>
                </c:pt>
                <c:pt idx="188">
                  <c:v>3.3</c:v>
                </c:pt>
                <c:pt idx="189">
                  <c:v>4.5</c:v>
                </c:pt>
                <c:pt idx="190">
                  <c:v>4.8</c:v>
                </c:pt>
                <c:pt idx="191">
                  <c:v>1.5</c:v>
                </c:pt>
                <c:pt idx="192">
                  <c:v>5.0999999999999996</c:v>
                </c:pt>
                <c:pt idx="193">
                  <c:v>5.5</c:v>
                </c:pt>
                <c:pt idx="194">
                  <c:v>2.9</c:v>
                </c:pt>
                <c:pt idx="195">
                  <c:v>5.5</c:v>
                </c:pt>
                <c:pt idx="196">
                  <c:v>4.5999999999999996</c:v>
                </c:pt>
                <c:pt idx="197">
                  <c:v>5.2</c:v>
                </c:pt>
                <c:pt idx="198">
                  <c:v>1.7</c:v>
                </c:pt>
                <c:pt idx="199">
                  <c:v>5.5</c:v>
                </c:pt>
                <c:pt idx="200">
                  <c:v>6</c:v>
                </c:pt>
                <c:pt idx="201">
                  <c:v>5.9</c:v>
                </c:pt>
                <c:pt idx="202">
                  <c:v>11.7</c:v>
                </c:pt>
                <c:pt idx="203">
                  <c:v>11.5</c:v>
                </c:pt>
                <c:pt idx="204">
                  <c:v>11.3</c:v>
                </c:pt>
                <c:pt idx="205">
                  <c:v>10.9</c:v>
                </c:pt>
                <c:pt idx="206">
                  <c:v>13.2</c:v>
                </c:pt>
                <c:pt idx="207">
                  <c:v>11.7</c:v>
                </c:pt>
                <c:pt idx="208">
                  <c:v>5.6</c:v>
                </c:pt>
                <c:pt idx="209">
                  <c:v>0.3</c:v>
                </c:pt>
                <c:pt idx="210">
                  <c:v>0.21</c:v>
                </c:pt>
                <c:pt idx="211">
                  <c:v>1.5</c:v>
                </c:pt>
                <c:pt idx="212">
                  <c:v>4.4000000000000004</c:v>
                </c:pt>
                <c:pt idx="213">
                  <c:v>7.98</c:v>
                </c:pt>
                <c:pt idx="214">
                  <c:v>31.6</c:v>
                </c:pt>
                <c:pt idx="215">
                  <c:v>51.39</c:v>
                </c:pt>
                <c:pt idx="216">
                  <c:v>19.96</c:v>
                </c:pt>
                <c:pt idx="217">
                  <c:v>1.609</c:v>
                </c:pt>
                <c:pt idx="218">
                  <c:v>5.2519999999999998</c:v>
                </c:pt>
                <c:pt idx="219">
                  <c:v>3.4089999999999998</c:v>
                </c:pt>
                <c:pt idx="220">
                  <c:v>0.76500000000000001</c:v>
                </c:pt>
                <c:pt idx="221">
                  <c:v>4.8000000000000001E-2</c:v>
                </c:pt>
                <c:pt idx="222">
                  <c:v>0.95499999999999996</c:v>
                </c:pt>
                <c:pt idx="223" formatCode="General">
                  <c:v>2.5</c:v>
                </c:pt>
                <c:pt idx="224" formatCode="General">
                  <c:v>1.7</c:v>
                </c:pt>
                <c:pt idx="225" formatCode="General">
                  <c:v>1.2</c:v>
                </c:pt>
                <c:pt idx="226" formatCode="General">
                  <c:v>1.2</c:v>
                </c:pt>
                <c:pt idx="227" formatCode="General">
                  <c:v>5.9</c:v>
                </c:pt>
                <c:pt idx="228" formatCode="General">
                  <c:v>1.9</c:v>
                </c:pt>
              </c:numCache>
            </c:numRef>
          </c:xVal>
          <c:yVal>
            <c:numRef>
              <c:f>'##BlattmasseHöheKI (2)'!$D$5:$D$233</c:f>
              <c:numCache>
                <c:formatCode>General</c:formatCode>
                <c:ptCount val="229"/>
                <c:pt idx="0">
                  <c:v>0.1171</c:v>
                </c:pt>
                <c:pt idx="1">
                  <c:v>0.12280000000000001</c:v>
                </c:pt>
                <c:pt idx="2">
                  <c:v>0.1159</c:v>
                </c:pt>
                <c:pt idx="3">
                  <c:v>0.1305</c:v>
                </c:pt>
                <c:pt idx="4">
                  <c:v>6.8</c:v>
                </c:pt>
                <c:pt idx="5">
                  <c:v>5.8</c:v>
                </c:pt>
                <c:pt idx="6">
                  <c:v>6.1</c:v>
                </c:pt>
                <c:pt idx="7">
                  <c:v>6.6</c:v>
                </c:pt>
                <c:pt idx="8">
                  <c:v>7.6</c:v>
                </c:pt>
                <c:pt idx="9">
                  <c:v>8</c:v>
                </c:pt>
                <c:pt idx="10">
                  <c:v>4.5</c:v>
                </c:pt>
                <c:pt idx="11">
                  <c:v>5.4</c:v>
                </c:pt>
                <c:pt idx="12">
                  <c:v>5.9</c:v>
                </c:pt>
                <c:pt idx="13">
                  <c:v>6.8</c:v>
                </c:pt>
                <c:pt idx="14">
                  <c:v>5.8</c:v>
                </c:pt>
                <c:pt idx="15">
                  <c:v>7</c:v>
                </c:pt>
                <c:pt idx="16">
                  <c:v>7.2</c:v>
                </c:pt>
                <c:pt idx="17">
                  <c:v>8.5</c:v>
                </c:pt>
                <c:pt idx="18">
                  <c:v>7.9</c:v>
                </c:pt>
                <c:pt idx="19">
                  <c:v>7.8</c:v>
                </c:pt>
                <c:pt idx="20">
                  <c:v>8.6</c:v>
                </c:pt>
                <c:pt idx="21">
                  <c:v>6.4</c:v>
                </c:pt>
                <c:pt idx="22">
                  <c:v>9.4</c:v>
                </c:pt>
                <c:pt idx="23">
                  <c:v>11</c:v>
                </c:pt>
                <c:pt idx="24">
                  <c:v>9.1</c:v>
                </c:pt>
                <c:pt idx="25">
                  <c:v>9</c:v>
                </c:pt>
                <c:pt idx="26">
                  <c:v>8.4</c:v>
                </c:pt>
                <c:pt idx="27">
                  <c:v>11.8</c:v>
                </c:pt>
                <c:pt idx="28">
                  <c:v>13.4</c:v>
                </c:pt>
                <c:pt idx="29">
                  <c:v>9</c:v>
                </c:pt>
                <c:pt idx="30">
                  <c:v>11</c:v>
                </c:pt>
                <c:pt idx="31">
                  <c:v>11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7.6</c:v>
                </c:pt>
                <c:pt idx="39">
                  <c:v>8.8000000000000007</c:v>
                </c:pt>
                <c:pt idx="40">
                  <c:v>27</c:v>
                </c:pt>
                <c:pt idx="41">
                  <c:v>25</c:v>
                </c:pt>
                <c:pt idx="42">
                  <c:v>7.4</c:v>
                </c:pt>
                <c:pt idx="43">
                  <c:v>5</c:v>
                </c:pt>
                <c:pt idx="44">
                  <c:v>5</c:v>
                </c:pt>
                <c:pt idx="45">
                  <c:v>11</c:v>
                </c:pt>
                <c:pt idx="46">
                  <c:v>9.6</c:v>
                </c:pt>
                <c:pt idx="47">
                  <c:v>21</c:v>
                </c:pt>
                <c:pt idx="48">
                  <c:v>21</c:v>
                </c:pt>
                <c:pt idx="49">
                  <c:v>28</c:v>
                </c:pt>
                <c:pt idx="50">
                  <c:v>8.6</c:v>
                </c:pt>
                <c:pt idx="51">
                  <c:v>7.3</c:v>
                </c:pt>
                <c:pt idx="52">
                  <c:v>8.6999999999999993</c:v>
                </c:pt>
                <c:pt idx="53">
                  <c:v>6.9</c:v>
                </c:pt>
                <c:pt idx="54">
                  <c:v>7.8</c:v>
                </c:pt>
                <c:pt idx="55">
                  <c:v>8.3000000000000007</c:v>
                </c:pt>
                <c:pt idx="56">
                  <c:v>8.4</c:v>
                </c:pt>
                <c:pt idx="57">
                  <c:v>8</c:v>
                </c:pt>
                <c:pt idx="58">
                  <c:v>7.8</c:v>
                </c:pt>
                <c:pt idx="59">
                  <c:v>7.5</c:v>
                </c:pt>
                <c:pt idx="60">
                  <c:v>7.2</c:v>
                </c:pt>
                <c:pt idx="61">
                  <c:v>8.3000000000000007</c:v>
                </c:pt>
                <c:pt idx="62">
                  <c:v>8.6</c:v>
                </c:pt>
                <c:pt idx="63">
                  <c:v>9.4</c:v>
                </c:pt>
                <c:pt idx="64">
                  <c:v>9.3000000000000007</c:v>
                </c:pt>
                <c:pt idx="65">
                  <c:v>7.2</c:v>
                </c:pt>
                <c:pt idx="66">
                  <c:v>8.5</c:v>
                </c:pt>
                <c:pt idx="67">
                  <c:v>7.7</c:v>
                </c:pt>
                <c:pt idx="68">
                  <c:v>8.4</c:v>
                </c:pt>
                <c:pt idx="69">
                  <c:v>9.1999999999999993</c:v>
                </c:pt>
                <c:pt idx="70">
                  <c:v>8.6</c:v>
                </c:pt>
                <c:pt idx="71">
                  <c:v>11.6</c:v>
                </c:pt>
                <c:pt idx="72">
                  <c:v>12.6</c:v>
                </c:pt>
                <c:pt idx="73">
                  <c:v>12.6</c:v>
                </c:pt>
                <c:pt idx="74">
                  <c:v>10.4</c:v>
                </c:pt>
                <c:pt idx="75">
                  <c:v>10.199999999999999</c:v>
                </c:pt>
                <c:pt idx="76">
                  <c:v>14.6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10</c:v>
                </c:pt>
                <c:pt idx="88">
                  <c:v>11</c:v>
                </c:pt>
                <c:pt idx="89">
                  <c:v>13</c:v>
                </c:pt>
                <c:pt idx="90">
                  <c:v>17</c:v>
                </c:pt>
                <c:pt idx="91">
                  <c:v>15</c:v>
                </c:pt>
                <c:pt idx="92">
                  <c:v>18</c:v>
                </c:pt>
                <c:pt idx="93">
                  <c:v>15</c:v>
                </c:pt>
                <c:pt idx="94">
                  <c:v>16</c:v>
                </c:pt>
                <c:pt idx="95">
                  <c:v>18</c:v>
                </c:pt>
                <c:pt idx="96">
                  <c:v>13</c:v>
                </c:pt>
                <c:pt idx="97">
                  <c:v>15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22</c:v>
                </c:pt>
                <c:pt idx="107">
                  <c:v>21</c:v>
                </c:pt>
                <c:pt idx="108">
                  <c:v>28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18</c:v>
                </c:pt>
                <c:pt idx="113">
                  <c:v>27</c:v>
                </c:pt>
                <c:pt idx="114">
                  <c:v>27</c:v>
                </c:pt>
                <c:pt idx="115">
                  <c:v>31</c:v>
                </c:pt>
                <c:pt idx="116">
                  <c:v>31</c:v>
                </c:pt>
                <c:pt idx="117">
                  <c:v>21</c:v>
                </c:pt>
                <c:pt idx="118">
                  <c:v>29</c:v>
                </c:pt>
                <c:pt idx="119">
                  <c:v>24</c:v>
                </c:pt>
                <c:pt idx="120">
                  <c:v>22</c:v>
                </c:pt>
                <c:pt idx="121">
                  <c:v>28</c:v>
                </c:pt>
                <c:pt idx="122">
                  <c:v>31</c:v>
                </c:pt>
                <c:pt idx="123">
                  <c:v>30</c:v>
                </c:pt>
                <c:pt idx="124">
                  <c:v>31</c:v>
                </c:pt>
                <c:pt idx="125">
                  <c:v>31</c:v>
                </c:pt>
                <c:pt idx="126">
                  <c:v>33</c:v>
                </c:pt>
                <c:pt idx="127">
                  <c:v>31</c:v>
                </c:pt>
                <c:pt idx="128">
                  <c:v>30</c:v>
                </c:pt>
                <c:pt idx="129">
                  <c:v>34</c:v>
                </c:pt>
                <c:pt idx="130">
                  <c:v>25</c:v>
                </c:pt>
                <c:pt idx="131">
                  <c:v>22</c:v>
                </c:pt>
                <c:pt idx="132">
                  <c:v>31</c:v>
                </c:pt>
                <c:pt idx="133">
                  <c:v>33</c:v>
                </c:pt>
                <c:pt idx="134">
                  <c:v>7.1</c:v>
                </c:pt>
                <c:pt idx="135">
                  <c:v>8.1</c:v>
                </c:pt>
                <c:pt idx="136">
                  <c:v>8.1999999999999993</c:v>
                </c:pt>
                <c:pt idx="137">
                  <c:v>7</c:v>
                </c:pt>
                <c:pt idx="138">
                  <c:v>8.1</c:v>
                </c:pt>
                <c:pt idx="139">
                  <c:v>7</c:v>
                </c:pt>
                <c:pt idx="140">
                  <c:v>7.7</c:v>
                </c:pt>
                <c:pt idx="141">
                  <c:v>7.8</c:v>
                </c:pt>
                <c:pt idx="142">
                  <c:v>8.5</c:v>
                </c:pt>
                <c:pt idx="143">
                  <c:v>8.6</c:v>
                </c:pt>
                <c:pt idx="144">
                  <c:v>6.3</c:v>
                </c:pt>
                <c:pt idx="145">
                  <c:v>6.2</c:v>
                </c:pt>
                <c:pt idx="146">
                  <c:v>7.6</c:v>
                </c:pt>
                <c:pt idx="147">
                  <c:v>7</c:v>
                </c:pt>
                <c:pt idx="148">
                  <c:v>7.4</c:v>
                </c:pt>
                <c:pt idx="149">
                  <c:v>7.5</c:v>
                </c:pt>
                <c:pt idx="150">
                  <c:v>6.6</c:v>
                </c:pt>
                <c:pt idx="151">
                  <c:v>7</c:v>
                </c:pt>
                <c:pt idx="152">
                  <c:v>8.6</c:v>
                </c:pt>
                <c:pt idx="153">
                  <c:v>8.8000000000000007</c:v>
                </c:pt>
                <c:pt idx="154">
                  <c:v>9.4</c:v>
                </c:pt>
                <c:pt idx="155">
                  <c:v>9</c:v>
                </c:pt>
                <c:pt idx="156">
                  <c:v>9.8000000000000007</c:v>
                </c:pt>
                <c:pt idx="157">
                  <c:v>9</c:v>
                </c:pt>
                <c:pt idx="158">
                  <c:v>11.6</c:v>
                </c:pt>
                <c:pt idx="159">
                  <c:v>12</c:v>
                </c:pt>
                <c:pt idx="160">
                  <c:v>10.8</c:v>
                </c:pt>
                <c:pt idx="161">
                  <c:v>9</c:v>
                </c:pt>
                <c:pt idx="162">
                  <c:v>9.6</c:v>
                </c:pt>
                <c:pt idx="163">
                  <c:v>12.4</c:v>
                </c:pt>
                <c:pt idx="164">
                  <c:v>10.199999999999999</c:v>
                </c:pt>
                <c:pt idx="165">
                  <c:v>11.2</c:v>
                </c:pt>
                <c:pt idx="166">
                  <c:v>13.6</c:v>
                </c:pt>
                <c:pt idx="167">
                  <c:v>14.2</c:v>
                </c:pt>
                <c:pt idx="168">
                  <c:v>15</c:v>
                </c:pt>
                <c:pt idx="169">
                  <c:v>10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10</c:v>
                </c:pt>
                <c:pt idx="174">
                  <c:v>10</c:v>
                </c:pt>
                <c:pt idx="175">
                  <c:v>9</c:v>
                </c:pt>
                <c:pt idx="176">
                  <c:v>12</c:v>
                </c:pt>
                <c:pt idx="177">
                  <c:v>13</c:v>
                </c:pt>
                <c:pt idx="178">
                  <c:v>17</c:v>
                </c:pt>
                <c:pt idx="179">
                  <c:v>18</c:v>
                </c:pt>
                <c:pt idx="180">
                  <c:v>15</c:v>
                </c:pt>
                <c:pt idx="181">
                  <c:v>12</c:v>
                </c:pt>
                <c:pt idx="182">
                  <c:v>5</c:v>
                </c:pt>
                <c:pt idx="183">
                  <c:v>6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21</c:v>
                </c:pt>
                <c:pt idx="189">
                  <c:v>22</c:v>
                </c:pt>
                <c:pt idx="190">
                  <c:v>24</c:v>
                </c:pt>
                <c:pt idx="191">
                  <c:v>17</c:v>
                </c:pt>
                <c:pt idx="192">
                  <c:v>17</c:v>
                </c:pt>
                <c:pt idx="193">
                  <c:v>26</c:v>
                </c:pt>
                <c:pt idx="194">
                  <c:v>27</c:v>
                </c:pt>
                <c:pt idx="195">
                  <c:v>29</c:v>
                </c:pt>
                <c:pt idx="196">
                  <c:v>21</c:v>
                </c:pt>
                <c:pt idx="197">
                  <c:v>21</c:v>
                </c:pt>
                <c:pt idx="198">
                  <c:v>26</c:v>
                </c:pt>
                <c:pt idx="199">
                  <c:v>28</c:v>
                </c:pt>
                <c:pt idx="200">
                  <c:v>27</c:v>
                </c:pt>
                <c:pt idx="201">
                  <c:v>27</c:v>
                </c:pt>
                <c:pt idx="202">
                  <c:v>20</c:v>
                </c:pt>
                <c:pt idx="203">
                  <c:v>30</c:v>
                </c:pt>
                <c:pt idx="204">
                  <c:v>30</c:v>
                </c:pt>
                <c:pt idx="205">
                  <c:v>29</c:v>
                </c:pt>
                <c:pt idx="206">
                  <c:v>32</c:v>
                </c:pt>
                <c:pt idx="207">
                  <c:v>32</c:v>
                </c:pt>
                <c:pt idx="208">
                  <c:v>32</c:v>
                </c:pt>
                <c:pt idx="209">
                  <c:v>5.6</c:v>
                </c:pt>
                <c:pt idx="210">
                  <c:v>8</c:v>
                </c:pt>
                <c:pt idx="211">
                  <c:v>21</c:v>
                </c:pt>
                <c:pt idx="212">
                  <c:v>14.9</c:v>
                </c:pt>
                <c:pt idx="213">
                  <c:v>31.5</c:v>
                </c:pt>
                <c:pt idx="214">
                  <c:v>33.299999999999997</c:v>
                </c:pt>
                <c:pt idx="215">
                  <c:v>32.5</c:v>
                </c:pt>
                <c:pt idx="216">
                  <c:v>29.5</c:v>
                </c:pt>
                <c:pt idx="217">
                  <c:v>21.33</c:v>
                </c:pt>
                <c:pt idx="218">
                  <c:v>22.65</c:v>
                </c:pt>
                <c:pt idx="219">
                  <c:v>24</c:v>
                </c:pt>
                <c:pt idx="220">
                  <c:v>4.0999999999999996</c:v>
                </c:pt>
                <c:pt idx="221">
                  <c:v>1.65</c:v>
                </c:pt>
                <c:pt idx="222">
                  <c:v>8.8000000000000007</c:v>
                </c:pt>
                <c:pt idx="223">
                  <c:v>10</c:v>
                </c:pt>
                <c:pt idx="224">
                  <c:v>10.8</c:v>
                </c:pt>
                <c:pt idx="225">
                  <c:v>10.7</c:v>
                </c:pt>
                <c:pt idx="226">
                  <c:v>7.3</c:v>
                </c:pt>
                <c:pt idx="227">
                  <c:v>10.1</c:v>
                </c:pt>
                <c:pt idx="228">
                  <c:v>11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'Burger_Tab. 10'!$W$6:$W$215</c:f>
              <c:numCache>
                <c:formatCode>General</c:formatCode>
                <c:ptCount val="210"/>
                <c:pt idx="0">
                  <c:v>0.34</c:v>
                </c:pt>
                <c:pt idx="1">
                  <c:v>0.94</c:v>
                </c:pt>
                <c:pt idx="2">
                  <c:v>6.03</c:v>
                </c:pt>
                <c:pt idx="3">
                  <c:v>0.3</c:v>
                </c:pt>
                <c:pt idx="4">
                  <c:v>0.98</c:v>
                </c:pt>
                <c:pt idx="5">
                  <c:v>1.43</c:v>
                </c:pt>
                <c:pt idx="6">
                  <c:v>1.88</c:v>
                </c:pt>
                <c:pt idx="7">
                  <c:v>0.6</c:v>
                </c:pt>
                <c:pt idx="8">
                  <c:v>0.6</c:v>
                </c:pt>
                <c:pt idx="9">
                  <c:v>0.82</c:v>
                </c:pt>
                <c:pt idx="10">
                  <c:v>1.46</c:v>
                </c:pt>
                <c:pt idx="11">
                  <c:v>1.42</c:v>
                </c:pt>
                <c:pt idx="12">
                  <c:v>2.2400000000000002</c:v>
                </c:pt>
                <c:pt idx="13">
                  <c:v>2.5499999999999998</c:v>
                </c:pt>
                <c:pt idx="14">
                  <c:v>2.0699999999999998</c:v>
                </c:pt>
                <c:pt idx="15">
                  <c:v>1.67</c:v>
                </c:pt>
                <c:pt idx="16">
                  <c:v>5.01</c:v>
                </c:pt>
                <c:pt idx="17">
                  <c:v>1.28</c:v>
                </c:pt>
                <c:pt idx="18">
                  <c:v>4.1500000000000004</c:v>
                </c:pt>
                <c:pt idx="19">
                  <c:v>2.0499999999999998</c:v>
                </c:pt>
                <c:pt idx="20">
                  <c:v>4.38</c:v>
                </c:pt>
                <c:pt idx="21">
                  <c:v>0.75</c:v>
                </c:pt>
                <c:pt idx="22">
                  <c:v>2.54</c:v>
                </c:pt>
                <c:pt idx="23">
                  <c:v>3.86</c:v>
                </c:pt>
                <c:pt idx="24">
                  <c:v>4.95</c:v>
                </c:pt>
                <c:pt idx="25">
                  <c:v>1.18</c:v>
                </c:pt>
                <c:pt idx="26">
                  <c:v>1.4</c:v>
                </c:pt>
                <c:pt idx="27">
                  <c:v>2.3199999999999998</c:v>
                </c:pt>
                <c:pt idx="28">
                  <c:v>4.4800000000000004</c:v>
                </c:pt>
                <c:pt idx="29">
                  <c:v>2.1</c:v>
                </c:pt>
                <c:pt idx="30">
                  <c:v>1.49</c:v>
                </c:pt>
                <c:pt idx="31">
                  <c:v>3.37</c:v>
                </c:pt>
                <c:pt idx="32">
                  <c:v>3.48</c:v>
                </c:pt>
                <c:pt idx="33">
                  <c:v>0.56000000000000005</c:v>
                </c:pt>
                <c:pt idx="34">
                  <c:v>1.1000000000000001</c:v>
                </c:pt>
                <c:pt idx="35">
                  <c:v>1.74</c:v>
                </c:pt>
                <c:pt idx="36">
                  <c:v>2.61</c:v>
                </c:pt>
                <c:pt idx="37">
                  <c:v>2.98</c:v>
                </c:pt>
                <c:pt idx="38">
                  <c:v>0.38</c:v>
                </c:pt>
                <c:pt idx="39">
                  <c:v>0.59</c:v>
                </c:pt>
                <c:pt idx="40">
                  <c:v>1.1599999999999999</c:v>
                </c:pt>
                <c:pt idx="41">
                  <c:v>1.47</c:v>
                </c:pt>
                <c:pt idx="42">
                  <c:v>3.42</c:v>
                </c:pt>
                <c:pt idx="43">
                  <c:v>0.99</c:v>
                </c:pt>
                <c:pt idx="44">
                  <c:v>1.8</c:v>
                </c:pt>
                <c:pt idx="45">
                  <c:v>2.1</c:v>
                </c:pt>
                <c:pt idx="46">
                  <c:v>7.73</c:v>
                </c:pt>
                <c:pt idx="47">
                  <c:v>2.13</c:v>
                </c:pt>
                <c:pt idx="48">
                  <c:v>2.34</c:v>
                </c:pt>
                <c:pt idx="49">
                  <c:v>2.2000000000000002</c:v>
                </c:pt>
                <c:pt idx="50">
                  <c:v>2.92</c:v>
                </c:pt>
                <c:pt idx="51">
                  <c:v>0.45</c:v>
                </c:pt>
                <c:pt idx="52">
                  <c:v>0.4</c:v>
                </c:pt>
                <c:pt idx="53">
                  <c:v>0.71</c:v>
                </c:pt>
                <c:pt idx="54">
                  <c:v>0.93</c:v>
                </c:pt>
                <c:pt idx="55">
                  <c:v>1.1200000000000001</c:v>
                </c:pt>
                <c:pt idx="56">
                  <c:v>1.57</c:v>
                </c:pt>
                <c:pt idx="57">
                  <c:v>1.34</c:v>
                </c:pt>
                <c:pt idx="58">
                  <c:v>1.02</c:v>
                </c:pt>
                <c:pt idx="59">
                  <c:v>1.54</c:v>
                </c:pt>
                <c:pt idx="60">
                  <c:v>1.61</c:v>
                </c:pt>
                <c:pt idx="61">
                  <c:v>2.4300000000000002</c:v>
                </c:pt>
                <c:pt idx="62">
                  <c:v>2.57</c:v>
                </c:pt>
                <c:pt idx="63">
                  <c:v>4.1100000000000003</c:v>
                </c:pt>
                <c:pt idx="64">
                  <c:v>4.82</c:v>
                </c:pt>
                <c:pt idx="65">
                  <c:v>6.52</c:v>
                </c:pt>
                <c:pt idx="66">
                  <c:v>0.33</c:v>
                </c:pt>
                <c:pt idx="67">
                  <c:v>1.99</c:v>
                </c:pt>
                <c:pt idx="68">
                  <c:v>1.69</c:v>
                </c:pt>
                <c:pt idx="69">
                  <c:v>0.42</c:v>
                </c:pt>
                <c:pt idx="70">
                  <c:v>1.91</c:v>
                </c:pt>
                <c:pt idx="71">
                  <c:v>1.94</c:v>
                </c:pt>
                <c:pt idx="72">
                  <c:v>0.47</c:v>
                </c:pt>
                <c:pt idx="73">
                  <c:v>1.1100000000000001</c:v>
                </c:pt>
                <c:pt idx="74">
                  <c:v>2.34</c:v>
                </c:pt>
                <c:pt idx="75">
                  <c:v>1.96</c:v>
                </c:pt>
                <c:pt idx="76">
                  <c:v>1.45</c:v>
                </c:pt>
                <c:pt idx="77">
                  <c:v>0.9</c:v>
                </c:pt>
                <c:pt idx="78">
                  <c:v>1.82</c:v>
                </c:pt>
                <c:pt idx="79">
                  <c:v>2.06</c:v>
                </c:pt>
                <c:pt idx="80">
                  <c:v>3.02</c:v>
                </c:pt>
                <c:pt idx="81">
                  <c:v>0.21</c:v>
                </c:pt>
                <c:pt idx="82">
                  <c:v>0.62</c:v>
                </c:pt>
                <c:pt idx="83">
                  <c:v>1.94</c:v>
                </c:pt>
                <c:pt idx="84">
                  <c:v>2.79</c:v>
                </c:pt>
                <c:pt idx="85">
                  <c:v>4.4400000000000004</c:v>
                </c:pt>
                <c:pt idx="86">
                  <c:v>0.21</c:v>
                </c:pt>
                <c:pt idx="87">
                  <c:v>0.75</c:v>
                </c:pt>
                <c:pt idx="88">
                  <c:v>1.03</c:v>
                </c:pt>
                <c:pt idx="89">
                  <c:v>0.56000000000000005</c:v>
                </c:pt>
                <c:pt idx="90">
                  <c:v>1.52</c:v>
                </c:pt>
                <c:pt idx="91">
                  <c:v>2.15</c:v>
                </c:pt>
                <c:pt idx="92">
                  <c:v>0.64</c:v>
                </c:pt>
                <c:pt idx="93">
                  <c:v>1.5</c:v>
                </c:pt>
                <c:pt idx="94">
                  <c:v>2.58</c:v>
                </c:pt>
                <c:pt idx="95">
                  <c:v>1.4</c:v>
                </c:pt>
                <c:pt idx="96">
                  <c:v>3.2</c:v>
                </c:pt>
                <c:pt idx="97">
                  <c:v>3.6</c:v>
                </c:pt>
                <c:pt idx="98">
                  <c:v>6.6</c:v>
                </c:pt>
                <c:pt idx="99">
                  <c:v>1.7</c:v>
                </c:pt>
                <c:pt idx="100">
                  <c:v>2.7</c:v>
                </c:pt>
                <c:pt idx="101">
                  <c:v>3.6</c:v>
                </c:pt>
                <c:pt idx="102">
                  <c:v>6.6</c:v>
                </c:pt>
                <c:pt idx="103">
                  <c:v>2.4</c:v>
                </c:pt>
                <c:pt idx="104">
                  <c:v>6.6</c:v>
                </c:pt>
                <c:pt idx="105">
                  <c:v>6.9</c:v>
                </c:pt>
                <c:pt idx="106">
                  <c:v>9</c:v>
                </c:pt>
                <c:pt idx="107">
                  <c:v>1.5</c:v>
                </c:pt>
                <c:pt idx="108">
                  <c:v>2.8</c:v>
                </c:pt>
                <c:pt idx="109">
                  <c:v>4.3</c:v>
                </c:pt>
                <c:pt idx="110">
                  <c:v>6.9</c:v>
                </c:pt>
                <c:pt idx="111">
                  <c:v>1</c:v>
                </c:pt>
                <c:pt idx="112">
                  <c:v>1.6</c:v>
                </c:pt>
                <c:pt idx="113">
                  <c:v>1.6</c:v>
                </c:pt>
                <c:pt idx="114">
                  <c:v>3.6</c:v>
                </c:pt>
                <c:pt idx="115">
                  <c:v>0.9</c:v>
                </c:pt>
                <c:pt idx="116">
                  <c:v>1.6</c:v>
                </c:pt>
                <c:pt idx="117">
                  <c:v>2.2000000000000002</c:v>
                </c:pt>
                <c:pt idx="118">
                  <c:v>3.5</c:v>
                </c:pt>
                <c:pt idx="119">
                  <c:v>0.6</c:v>
                </c:pt>
                <c:pt idx="120">
                  <c:v>1.3</c:v>
                </c:pt>
                <c:pt idx="121">
                  <c:v>2.1</c:v>
                </c:pt>
                <c:pt idx="122">
                  <c:v>3.4</c:v>
                </c:pt>
                <c:pt idx="123">
                  <c:v>1.3</c:v>
                </c:pt>
                <c:pt idx="124">
                  <c:v>2.4</c:v>
                </c:pt>
                <c:pt idx="125">
                  <c:v>3.4</c:v>
                </c:pt>
                <c:pt idx="126">
                  <c:v>5.4</c:v>
                </c:pt>
                <c:pt idx="127">
                  <c:v>1.4</c:v>
                </c:pt>
                <c:pt idx="128">
                  <c:v>1.9</c:v>
                </c:pt>
                <c:pt idx="129">
                  <c:v>4</c:v>
                </c:pt>
                <c:pt idx="130">
                  <c:v>6.5</c:v>
                </c:pt>
                <c:pt idx="131">
                  <c:v>1.3</c:v>
                </c:pt>
                <c:pt idx="132">
                  <c:v>1.7</c:v>
                </c:pt>
                <c:pt idx="133">
                  <c:v>3.8</c:v>
                </c:pt>
                <c:pt idx="134">
                  <c:v>6.3</c:v>
                </c:pt>
                <c:pt idx="135">
                  <c:v>0.5</c:v>
                </c:pt>
                <c:pt idx="136">
                  <c:v>1.2</c:v>
                </c:pt>
                <c:pt idx="137">
                  <c:v>1.7</c:v>
                </c:pt>
                <c:pt idx="138">
                  <c:v>3.2</c:v>
                </c:pt>
                <c:pt idx="139">
                  <c:v>0.6</c:v>
                </c:pt>
                <c:pt idx="140">
                  <c:v>1.4</c:v>
                </c:pt>
                <c:pt idx="141">
                  <c:v>1.8</c:v>
                </c:pt>
                <c:pt idx="142">
                  <c:v>3.9</c:v>
                </c:pt>
                <c:pt idx="143">
                  <c:v>1.1000000000000001</c:v>
                </c:pt>
                <c:pt idx="144">
                  <c:v>2.1</c:v>
                </c:pt>
                <c:pt idx="145">
                  <c:v>2.1</c:v>
                </c:pt>
                <c:pt idx="146">
                  <c:v>4.5</c:v>
                </c:pt>
                <c:pt idx="147">
                  <c:v>0.9</c:v>
                </c:pt>
                <c:pt idx="148">
                  <c:v>1.4</c:v>
                </c:pt>
                <c:pt idx="149">
                  <c:v>1.8</c:v>
                </c:pt>
                <c:pt idx="150">
                  <c:v>1.7</c:v>
                </c:pt>
                <c:pt idx="151">
                  <c:v>1.2</c:v>
                </c:pt>
                <c:pt idx="152">
                  <c:v>1.5</c:v>
                </c:pt>
                <c:pt idx="153">
                  <c:v>2.1</c:v>
                </c:pt>
                <c:pt idx="154">
                  <c:v>3.4</c:v>
                </c:pt>
                <c:pt idx="155">
                  <c:v>3.3</c:v>
                </c:pt>
                <c:pt idx="156">
                  <c:v>4.5</c:v>
                </c:pt>
                <c:pt idx="157">
                  <c:v>8.9</c:v>
                </c:pt>
                <c:pt idx="158">
                  <c:v>6.1</c:v>
                </c:pt>
                <c:pt idx="159">
                  <c:v>2.8</c:v>
                </c:pt>
                <c:pt idx="160">
                  <c:v>6.8</c:v>
                </c:pt>
                <c:pt idx="161">
                  <c:v>5.6</c:v>
                </c:pt>
                <c:pt idx="162">
                  <c:v>2.2000000000000002</c:v>
                </c:pt>
                <c:pt idx="163">
                  <c:v>4.8</c:v>
                </c:pt>
                <c:pt idx="164">
                  <c:v>8</c:v>
                </c:pt>
                <c:pt idx="165">
                  <c:v>17.399999999999999</c:v>
                </c:pt>
                <c:pt idx="166">
                  <c:v>1.5</c:v>
                </c:pt>
                <c:pt idx="167">
                  <c:v>4.2</c:v>
                </c:pt>
                <c:pt idx="168">
                  <c:v>5.0999999999999996</c:v>
                </c:pt>
                <c:pt idx="169">
                  <c:v>1.5</c:v>
                </c:pt>
                <c:pt idx="170">
                  <c:v>5.5</c:v>
                </c:pt>
                <c:pt idx="171">
                  <c:v>17.399999999999999</c:v>
                </c:pt>
                <c:pt idx="172">
                  <c:v>6.3</c:v>
                </c:pt>
                <c:pt idx="173">
                  <c:v>2.9</c:v>
                </c:pt>
                <c:pt idx="174">
                  <c:v>5.5</c:v>
                </c:pt>
                <c:pt idx="175">
                  <c:v>8.5</c:v>
                </c:pt>
                <c:pt idx="176">
                  <c:v>17.7</c:v>
                </c:pt>
                <c:pt idx="177">
                  <c:v>4.5999999999999996</c:v>
                </c:pt>
                <c:pt idx="178">
                  <c:v>5.2</c:v>
                </c:pt>
                <c:pt idx="179">
                  <c:v>4.0999999999999996</c:v>
                </c:pt>
                <c:pt idx="180">
                  <c:v>1.7</c:v>
                </c:pt>
                <c:pt idx="181">
                  <c:v>5.5</c:v>
                </c:pt>
                <c:pt idx="182">
                  <c:v>6</c:v>
                </c:pt>
                <c:pt idx="183">
                  <c:v>5.9</c:v>
                </c:pt>
                <c:pt idx="184">
                  <c:v>9.4</c:v>
                </c:pt>
                <c:pt idx="185">
                  <c:v>3.7</c:v>
                </c:pt>
                <c:pt idx="186">
                  <c:v>11.7</c:v>
                </c:pt>
                <c:pt idx="187">
                  <c:v>15.6</c:v>
                </c:pt>
                <c:pt idx="188">
                  <c:v>23.3</c:v>
                </c:pt>
                <c:pt idx="189">
                  <c:v>4.2</c:v>
                </c:pt>
                <c:pt idx="190">
                  <c:v>11.5</c:v>
                </c:pt>
                <c:pt idx="191">
                  <c:v>11.3</c:v>
                </c:pt>
                <c:pt idx="192">
                  <c:v>11.9</c:v>
                </c:pt>
                <c:pt idx="193">
                  <c:v>30.1</c:v>
                </c:pt>
                <c:pt idx="194">
                  <c:v>10.9</c:v>
                </c:pt>
                <c:pt idx="195">
                  <c:v>14.8</c:v>
                </c:pt>
                <c:pt idx="196">
                  <c:v>16.399999999999999</c:v>
                </c:pt>
                <c:pt idx="197">
                  <c:v>14.3</c:v>
                </c:pt>
                <c:pt idx="198">
                  <c:v>2.8</c:v>
                </c:pt>
                <c:pt idx="199">
                  <c:v>13.2</c:v>
                </c:pt>
                <c:pt idx="200">
                  <c:v>16.7</c:v>
                </c:pt>
                <c:pt idx="201">
                  <c:v>8.6999999999999993</c:v>
                </c:pt>
                <c:pt idx="202">
                  <c:v>5.6</c:v>
                </c:pt>
                <c:pt idx="203">
                  <c:v>11.7</c:v>
                </c:pt>
                <c:pt idx="204">
                  <c:v>15.2</c:v>
                </c:pt>
                <c:pt idx="205">
                  <c:v>26.1</c:v>
                </c:pt>
                <c:pt idx="206">
                  <c:v>19.100000000000001</c:v>
                </c:pt>
                <c:pt idx="207">
                  <c:v>4.5999999999999996</c:v>
                </c:pt>
                <c:pt idx="208">
                  <c:v>15.8</c:v>
                </c:pt>
                <c:pt idx="209">
                  <c:v>9.3000000000000007</c:v>
                </c:pt>
              </c:numCache>
            </c:numRef>
          </c:xVal>
          <c:yVal>
            <c:numRef>
              <c:f>'Burger_Tab. 10'!$AA$6:$AA$215</c:f>
              <c:numCache>
                <c:formatCode>General</c:formatCode>
                <c:ptCount val="210"/>
                <c:pt idx="0">
                  <c:v>0.93269819788820507</c:v>
                </c:pt>
                <c:pt idx="1">
                  <c:v>2.2783867434554796</c:v>
                </c:pt>
                <c:pt idx="2">
                  <c:v>10.483106228603413</c:v>
                </c:pt>
                <c:pt idx="3">
                  <c:v>0.83466123245992896</c:v>
                </c:pt>
                <c:pt idx="4">
                  <c:v>2.3621703293231273</c:v>
                </c:pt>
                <c:pt idx="5">
                  <c:v>3.2689755279634181</c:v>
                </c:pt>
                <c:pt idx="6">
                  <c:v>4.1214971931123969</c:v>
                </c:pt>
                <c:pt idx="7">
                  <c:v>1.5397245602965435</c:v>
                </c:pt>
                <c:pt idx="8">
                  <c:v>1.5397245602965435</c:v>
                </c:pt>
                <c:pt idx="9">
                  <c:v>2.0233913438774547</c:v>
                </c:pt>
                <c:pt idx="10">
                  <c:v>3.3273506860905306</c:v>
                </c:pt>
                <c:pt idx="11">
                  <c:v>3.2494643890944905</c:v>
                </c:pt>
                <c:pt idx="12">
                  <c:v>4.7716882767271365</c:v>
                </c:pt>
                <c:pt idx="13">
                  <c:v>5.3119216118545669</c:v>
                </c:pt>
                <c:pt idx="14">
                  <c:v>4.4678822769092053</c:v>
                </c:pt>
                <c:pt idx="15">
                  <c:v>3.7296097370080372</c:v>
                </c:pt>
                <c:pt idx="16">
                  <c:v>9.1074108023436473</c:v>
                </c:pt>
                <c:pt idx="17">
                  <c:v>2.9734437185478035</c:v>
                </c:pt>
                <c:pt idx="18">
                  <c:v>7.8661952913343729</c:v>
                </c:pt>
                <c:pt idx="19">
                  <c:v>4.431768495624401</c:v>
                </c:pt>
                <c:pt idx="20">
                  <c:v>8.2061151747990291</c:v>
                </c:pt>
                <c:pt idx="21">
                  <c:v>1.8719269364257176</c:v>
                </c:pt>
                <c:pt idx="22">
                  <c:v>5.2947585383531388</c:v>
                </c:pt>
                <c:pt idx="23">
                  <c:v>7.4287161843815381</c:v>
                </c:pt>
                <c:pt idx="24">
                  <c:v>9.0233688542805854</c:v>
                </c:pt>
                <c:pt idx="25">
                  <c:v>2.7728451998902162</c:v>
                </c:pt>
                <c:pt idx="26">
                  <c:v>3.2103621121933634</c:v>
                </c:pt>
                <c:pt idx="27">
                  <c:v>4.9127588937989062</c:v>
                </c:pt>
                <c:pt idx="28">
                  <c:v>8.3520356303813781</c:v>
                </c:pt>
                <c:pt idx="29">
                  <c:v>4.5219036868482112</c:v>
                </c:pt>
                <c:pt idx="30">
                  <c:v>3.385491413025437</c:v>
                </c:pt>
                <c:pt idx="31">
                  <c:v>6.6654561346279433</c:v>
                </c:pt>
                <c:pt idx="32">
                  <c:v>6.8395569463220243</c:v>
                </c:pt>
                <c:pt idx="33">
                  <c:v>1.4491747372556552</c:v>
                </c:pt>
                <c:pt idx="34">
                  <c:v>2.6101567223066877</c:v>
                </c:pt>
                <c:pt idx="35">
                  <c:v>3.861342570594779</c:v>
                </c:pt>
                <c:pt idx="36">
                  <c:v>5.4145444012580954</c:v>
                </c:pt>
                <c:pt idx="37">
                  <c:v>6.0344562582628036</c:v>
                </c:pt>
                <c:pt idx="38">
                  <c:v>1.0292799865327591</c:v>
                </c:pt>
                <c:pt idx="39">
                  <c:v>1.5171704426648875</c:v>
                </c:pt>
                <c:pt idx="40">
                  <c:v>2.732362227452692</c:v>
                </c:pt>
                <c:pt idx="41">
                  <c:v>3.3467567916184309</c:v>
                </c:pt>
                <c:pt idx="42">
                  <c:v>6.7447970697932016</c:v>
                </c:pt>
                <c:pt idx="43">
                  <c:v>2.3830259888594796</c:v>
                </c:pt>
                <c:pt idx="44">
                  <c:v>3.9733679043303689</c:v>
                </c:pt>
                <c:pt idx="45">
                  <c:v>4.5219036868482112</c:v>
                </c:pt>
                <c:pt idx="46">
                  <c:v>12.580357952726485</c:v>
                </c:pt>
                <c:pt idx="47">
                  <c:v>4.5757477083855669</c:v>
                </c:pt>
                <c:pt idx="48">
                  <c:v>4.9478425555336605</c:v>
                </c:pt>
                <c:pt idx="49">
                  <c:v>4.7007044799259941</c:v>
                </c:pt>
                <c:pt idx="50">
                  <c:v>5.9353911637010341</c:v>
                </c:pt>
                <c:pt idx="51">
                  <c:v>1.1952138999070512</c:v>
                </c:pt>
                <c:pt idx="52">
                  <c:v>1.0770714218227995</c:v>
                </c:pt>
                <c:pt idx="53">
                  <c:v>1.784402321966351</c:v>
                </c:pt>
                <c:pt idx="54">
                  <c:v>2.2573490554542888</c:v>
                </c:pt>
                <c:pt idx="55">
                  <c:v>2.65101977040892</c:v>
                </c:pt>
                <c:pt idx="56">
                  <c:v>3.5394148100672091</c:v>
                </c:pt>
                <c:pt idx="57">
                  <c:v>3.0924044195164342</c:v>
                </c:pt>
                <c:pt idx="58">
                  <c:v>2.4453811538878076</c:v>
                </c:pt>
                <c:pt idx="59">
                  <c:v>3.4818816028979711</c:v>
                </c:pt>
                <c:pt idx="60">
                  <c:v>3.6157816328014265</c:v>
                </c:pt>
                <c:pt idx="61">
                  <c:v>5.1048267645003103</c:v>
                </c:pt>
                <c:pt idx="62">
                  <c:v>5.3461967523190133</c:v>
                </c:pt>
                <c:pt idx="63">
                  <c:v>7.8064525433272989</c:v>
                </c:pt>
                <c:pt idx="64">
                  <c:v>8.8400127410604714</c:v>
                </c:pt>
                <c:pt idx="65">
                  <c:v>11.110996771896426</c:v>
                </c:pt>
                <c:pt idx="66">
                  <c:v>0.90833177009194077</c:v>
                </c:pt>
                <c:pt idx="67">
                  <c:v>4.3229429882434474</c:v>
                </c:pt>
                <c:pt idx="68">
                  <c:v>3.7673634703976067</c:v>
                </c:pt>
                <c:pt idx="69">
                  <c:v>1.1245506919933073</c:v>
                </c:pt>
                <c:pt idx="70">
                  <c:v>4.1766894858624388</c:v>
                </c:pt>
                <c:pt idx="71">
                  <c:v>4.2316911372411061</c:v>
                </c:pt>
                <c:pt idx="72">
                  <c:v>1.2419699555980184</c:v>
                </c:pt>
                <c:pt idx="73">
                  <c:v>2.6306044225032705</c:v>
                </c:pt>
                <c:pt idx="74">
                  <c:v>4.9478425555336605</c:v>
                </c:pt>
                <c:pt idx="75">
                  <c:v>4.2682541060704446</c:v>
                </c:pt>
                <c:pt idx="76">
                  <c:v>3.3079185338462569</c:v>
                </c:pt>
                <c:pt idx="77">
                  <c:v>2.1940104800524023</c:v>
                </c:pt>
                <c:pt idx="78">
                  <c:v>4.0105313586011864</c:v>
                </c:pt>
                <c:pt idx="79">
                  <c:v>4.4498353857397097</c:v>
                </c:pt>
                <c:pt idx="80">
                  <c:v>6.100196577398024</c:v>
                </c:pt>
                <c:pt idx="81">
                  <c:v>0.60770657117588411</c:v>
                </c:pt>
                <c:pt idx="82">
                  <c:v>1.5846709849226046</c:v>
                </c:pt>
                <c:pt idx="83">
                  <c:v>4.2316911372411061</c:v>
                </c:pt>
                <c:pt idx="84">
                  <c:v>5.7188410615766854</c:v>
                </c:pt>
                <c:pt idx="85">
                  <c:v>8.2938011456090166</c:v>
                </c:pt>
                <c:pt idx="86">
                  <c:v>0.60770657117588411</c:v>
                </c:pt>
                <c:pt idx="87">
                  <c:v>1.8719269364257176</c:v>
                </c:pt>
                <c:pt idx="88">
                  <c:v>2.4660965519828162</c:v>
                </c:pt>
                <c:pt idx="89">
                  <c:v>1.4491747372556552</c:v>
                </c:pt>
                <c:pt idx="90">
                  <c:v>3.4434013900676455</c:v>
                </c:pt>
                <c:pt idx="91">
                  <c:v>4.6115461121814585</c:v>
                </c:pt>
                <c:pt idx="92">
                  <c:v>1.6294067180867864</c:v>
                </c:pt>
                <c:pt idx="93">
                  <c:v>3.4048201998037113</c:v>
                </c:pt>
                <c:pt idx="94">
                  <c:v>5.3633089193730177</c:v>
                </c:pt>
                <c:pt idx="95">
                  <c:v>3.2103621121933634</c:v>
                </c:pt>
                <c:pt idx="96">
                  <c:v>6.3930966701671688</c:v>
                </c:pt>
                <c:pt idx="97">
                  <c:v>7.0276310766892038</c:v>
                </c:pt>
                <c:pt idx="98">
                  <c:v>11.211623078358292</c:v>
                </c:pt>
                <c:pt idx="99">
                  <c:v>3.7862053935693911</c:v>
                </c:pt>
                <c:pt idx="100">
                  <c:v>5.5673529586772972</c:v>
                </c:pt>
                <c:pt idx="101">
                  <c:v>7.0276310766892038</c:v>
                </c:pt>
                <c:pt idx="102">
                  <c:v>11.211623078358292</c:v>
                </c:pt>
                <c:pt idx="103">
                  <c:v>5.0526595520964479</c:v>
                </c:pt>
                <c:pt idx="104">
                  <c:v>11.211623078358292</c:v>
                </c:pt>
                <c:pt idx="105">
                  <c:v>11.584432464486165</c:v>
                </c:pt>
                <c:pt idx="106">
                  <c:v>14.012310185283903</c:v>
                </c:pt>
                <c:pt idx="107">
                  <c:v>3.4048201998037113</c:v>
                </c:pt>
                <c:pt idx="108">
                  <c:v>5.7355929852500527</c:v>
                </c:pt>
                <c:pt idx="109">
                  <c:v>8.0885698847608243</c:v>
                </c:pt>
                <c:pt idx="110">
                  <c:v>11.584432464486165</c:v>
                </c:pt>
                <c:pt idx="111">
                  <c:v>2.4038461538461537</c:v>
                </c:pt>
                <c:pt idx="112">
                  <c:v>3.5967264375551449</c:v>
                </c:pt>
                <c:pt idx="113">
                  <c:v>3.5967264375551449</c:v>
                </c:pt>
                <c:pt idx="114">
                  <c:v>7.0276310766892038</c:v>
                </c:pt>
                <c:pt idx="115">
                  <c:v>2.1940104800524023</c:v>
                </c:pt>
                <c:pt idx="116">
                  <c:v>3.5967264375551449</c:v>
                </c:pt>
                <c:pt idx="117">
                  <c:v>4.7007044799259941</c:v>
                </c:pt>
                <c:pt idx="118">
                  <c:v>6.8710357076658566</c:v>
                </c:pt>
                <c:pt idx="119">
                  <c:v>1.5397245602965435</c:v>
                </c:pt>
                <c:pt idx="120">
                  <c:v>3.0132109422707201</c:v>
                </c:pt>
                <c:pt idx="121">
                  <c:v>4.5219036868482112</c:v>
                </c:pt>
                <c:pt idx="122">
                  <c:v>6.7131017800975599</c:v>
                </c:pt>
                <c:pt idx="123">
                  <c:v>3.0132109422707201</c:v>
                </c:pt>
                <c:pt idx="124">
                  <c:v>5.0526595520964479</c:v>
                </c:pt>
                <c:pt idx="125">
                  <c:v>6.7131017800975599</c:v>
                </c:pt>
                <c:pt idx="126">
                  <c:v>9.6449665760638261</c:v>
                </c:pt>
                <c:pt idx="127">
                  <c:v>3.2103621121933634</c:v>
                </c:pt>
                <c:pt idx="128">
                  <c:v>4.1583133502245184</c:v>
                </c:pt>
                <c:pt idx="129">
                  <c:v>7.6411802321113607</c:v>
                </c:pt>
                <c:pt idx="130">
                  <c:v>11.085759173776864</c:v>
                </c:pt>
                <c:pt idx="131">
                  <c:v>3.0132109422707201</c:v>
                </c:pt>
                <c:pt idx="132">
                  <c:v>3.7862053935693911</c:v>
                </c:pt>
                <c:pt idx="133">
                  <c:v>7.3369192752942318</c:v>
                </c:pt>
                <c:pt idx="134">
                  <c:v>10.831577017586472</c:v>
                </c:pt>
                <c:pt idx="135">
                  <c:v>1.3116020233300847</c:v>
                </c:pt>
                <c:pt idx="136">
                  <c:v>2.8132049465737783</c:v>
                </c:pt>
                <c:pt idx="137">
                  <c:v>3.7862053935693911</c:v>
                </c:pt>
                <c:pt idx="138">
                  <c:v>6.3930966701671688</c:v>
                </c:pt>
                <c:pt idx="139">
                  <c:v>1.5397245602965435</c:v>
                </c:pt>
                <c:pt idx="140">
                  <c:v>3.2103621121933634</c:v>
                </c:pt>
                <c:pt idx="141">
                  <c:v>3.9733679043303689</c:v>
                </c:pt>
                <c:pt idx="142">
                  <c:v>7.48966552339893</c:v>
                </c:pt>
                <c:pt idx="143">
                  <c:v>2.6101567223066877</c:v>
                </c:pt>
                <c:pt idx="144">
                  <c:v>4.5219036868482112</c:v>
                </c:pt>
                <c:pt idx="145">
                  <c:v>4.5219036868482112</c:v>
                </c:pt>
                <c:pt idx="146">
                  <c:v>8.3810864967077201</c:v>
                </c:pt>
                <c:pt idx="147">
                  <c:v>2.1940104800524023</c:v>
                </c:pt>
                <c:pt idx="148">
                  <c:v>3.2103621121933634</c:v>
                </c:pt>
                <c:pt idx="149">
                  <c:v>3.9733679043303689</c:v>
                </c:pt>
                <c:pt idx="150">
                  <c:v>3.7862053935693911</c:v>
                </c:pt>
                <c:pt idx="151">
                  <c:v>2.8132049465737783</c:v>
                </c:pt>
                <c:pt idx="152">
                  <c:v>3.4048201998037113</c:v>
                </c:pt>
                <c:pt idx="153">
                  <c:v>4.5219036868482112</c:v>
                </c:pt>
                <c:pt idx="154">
                  <c:v>6.7131017800975599</c:v>
                </c:pt>
                <c:pt idx="155">
                  <c:v>6.5537992803443554</c:v>
                </c:pt>
                <c:pt idx="156">
                  <c:v>8.3810864967077201</c:v>
                </c:pt>
                <c:pt idx="157">
                  <c:v>13.903297076105851</c:v>
                </c:pt>
                <c:pt idx="158">
                  <c:v>10.574048664887476</c:v>
                </c:pt>
                <c:pt idx="159">
                  <c:v>5.7355929852500527</c:v>
                </c:pt>
                <c:pt idx="160">
                  <c:v>11.460949506038077</c:v>
                </c:pt>
                <c:pt idx="161">
                  <c:v>9.9149687931281836</c:v>
                </c:pt>
                <c:pt idx="162">
                  <c:v>4.7007044799259941</c:v>
                </c:pt>
                <c:pt idx="163">
                  <c:v>8.8116486651561647</c:v>
                </c:pt>
                <c:pt idx="164">
                  <c:v>12.893705981167562</c:v>
                </c:pt>
                <c:pt idx="165">
                  <c:v>21.464281543423255</c:v>
                </c:pt>
                <c:pt idx="166">
                  <c:v>3.4048201998037113</c:v>
                </c:pt>
                <c:pt idx="167">
                  <c:v>7.9406098787528387</c:v>
                </c:pt>
                <c:pt idx="168">
                  <c:v>9.2327925788129726</c:v>
                </c:pt>
                <c:pt idx="169">
                  <c:v>3.4048201998037113</c:v>
                </c:pt>
                <c:pt idx="170">
                  <c:v>9.7804361185521369</c:v>
                </c:pt>
                <c:pt idx="171">
                  <c:v>21.464281543423255</c:v>
                </c:pt>
                <c:pt idx="172">
                  <c:v>10.831577017586472</c:v>
                </c:pt>
                <c:pt idx="173">
                  <c:v>5.9022469857511899</c:v>
                </c:pt>
                <c:pt idx="174">
                  <c:v>9.7804361185521369</c:v>
                </c:pt>
                <c:pt idx="175">
                  <c:v>13.461031754354963</c:v>
                </c:pt>
                <c:pt idx="176">
                  <c:v>21.68161892230761</c:v>
                </c:pt>
                <c:pt idx="177">
                  <c:v>8.525683245392857</c:v>
                </c:pt>
                <c:pt idx="178">
                  <c:v>9.3711596590385451</c:v>
                </c:pt>
                <c:pt idx="179">
                  <c:v>7.7914873552319701</c:v>
                </c:pt>
                <c:pt idx="180">
                  <c:v>3.7862053935693911</c:v>
                </c:pt>
                <c:pt idx="181">
                  <c:v>9.7804361185521369</c:v>
                </c:pt>
                <c:pt idx="182">
                  <c:v>10.444000946363555</c:v>
                </c:pt>
                <c:pt idx="183">
                  <c:v>10.313081612261403</c:v>
                </c:pt>
                <c:pt idx="184">
                  <c:v>14.442342945801553</c:v>
                </c:pt>
                <c:pt idx="185">
                  <c:v>7.182916495759188</c:v>
                </c:pt>
                <c:pt idx="186">
                  <c:v>16.744454517392267</c:v>
                </c:pt>
                <c:pt idx="187">
                  <c:v>20.101316496682365</c:v>
                </c:pt>
                <c:pt idx="188">
                  <c:v>25.303562411348839</c:v>
                </c:pt>
                <c:pt idx="189">
                  <c:v>7.9406098787528387</c:v>
                </c:pt>
                <c:pt idx="190">
                  <c:v>16.554919251761188</c:v>
                </c:pt>
                <c:pt idx="191">
                  <c:v>16.363473151807252</c:v>
                </c:pt>
                <c:pt idx="192">
                  <c:v>16.932112689194781</c:v>
                </c:pt>
                <c:pt idx="193">
                  <c:v>28.836019263797319</c:v>
                </c:pt>
                <c:pt idx="194">
                  <c:v>15.974708506718638</c:v>
                </c:pt>
                <c:pt idx="195">
                  <c:v>19.460770252792766</c:v>
                </c:pt>
                <c:pt idx="196">
                  <c:v>20.719940651905169</c:v>
                </c:pt>
                <c:pt idx="197">
                  <c:v>19.048695651090451</c:v>
                </c:pt>
                <c:pt idx="198">
                  <c:v>5.7355929852500527</c:v>
                </c:pt>
                <c:pt idx="199">
                  <c:v>18.108318522078214</c:v>
                </c:pt>
                <c:pt idx="200">
                  <c:v>20.946530753057235</c:v>
                </c:pt>
                <c:pt idx="201">
                  <c:v>13.683420283551536</c:v>
                </c:pt>
                <c:pt idx="202">
                  <c:v>9.9149687931281836</c:v>
                </c:pt>
                <c:pt idx="203">
                  <c:v>16.744454517392267</c:v>
                </c:pt>
                <c:pt idx="204">
                  <c:v>19.783865965586227</c:v>
                </c:pt>
                <c:pt idx="205">
                  <c:v>26.855349498749835</c:v>
                </c:pt>
                <c:pt idx="206">
                  <c:v>22.661644574405702</c:v>
                </c:pt>
                <c:pt idx="207">
                  <c:v>8.525683245392857</c:v>
                </c:pt>
                <c:pt idx="208">
                  <c:v>20.257977143695502</c:v>
                </c:pt>
                <c:pt idx="209">
                  <c:v>14.335725280347503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'Burger_Tab. 10'!$AF$6:$AF$39</c:f>
              <c:numCache>
                <c:formatCode>General</c:formatCode>
                <c:ptCount val="34"/>
                <c:pt idx="0">
                  <c:v>0.01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</c:numCache>
            </c:numRef>
          </c:xVal>
          <c:yVal>
            <c:numRef>
              <c:f>'Burger_Tab. 10'!$AG$6:$AG$39</c:f>
              <c:numCache>
                <c:formatCode>General</c:formatCode>
                <c:ptCount val="34"/>
                <c:pt idx="0">
                  <c:v>2.4971730338986978E-2</c:v>
                </c:pt>
                <c:pt idx="1">
                  <c:v>1.203916921171087</c:v>
                </c:pt>
                <c:pt idx="2">
                  <c:v>2.3333333333333335</c:v>
                </c:pt>
                <c:pt idx="3">
                  <c:v>3.400171695455914</c:v>
                </c:pt>
                <c:pt idx="4">
                  <c:v>4.4119317337188724</c:v>
                </c:pt>
                <c:pt idx="5">
                  <c:v>5.3743268257972456</c:v>
                </c:pt>
                <c:pt idx="6">
                  <c:v>6.291993295254688</c:v>
                </c:pt>
                <c:pt idx="7">
                  <c:v>8.008144395795334</c:v>
                </c:pt>
                <c:pt idx="8">
                  <c:v>9.5855222309285733</c:v>
                </c:pt>
                <c:pt idx="9">
                  <c:v>11.043475484300265</c:v>
                </c:pt>
                <c:pt idx="10">
                  <c:v>12.397405913827086</c:v>
                </c:pt>
                <c:pt idx="11">
                  <c:v>13.65985648009279</c:v>
                </c:pt>
                <c:pt idx="12">
                  <c:v>14.841217310156829</c:v>
                </c:pt>
                <c:pt idx="13">
                  <c:v>15.950211753255667</c:v>
                </c:pt>
                <c:pt idx="14">
                  <c:v>16.994245188396079</c:v>
                </c:pt>
                <c:pt idx="15">
                  <c:v>17.979663175100061</c:v>
                </c:pt>
                <c:pt idx="16">
                  <c:v>18.911947157544454</c:v>
                </c:pt>
                <c:pt idx="17">
                  <c:v>19.795865737695525</c:v>
                </c:pt>
                <c:pt idx="18">
                  <c:v>20.635593506401857</c:v>
                </c:pt>
                <c:pt idx="19">
                  <c:v>21.434805677211276</c:v>
                </c:pt>
                <c:pt idx="20">
                  <c:v>22.196754347129318</c:v>
                </c:pt>
                <c:pt idx="21">
                  <c:v>22.924330591929486</c:v>
                </c:pt>
                <c:pt idx="22">
                  <c:v>23.620115494225306</c:v>
                </c:pt>
                <c:pt idx="23">
                  <c:v>24.286422423451917</c:v>
                </c:pt>
                <c:pt idx="24">
                  <c:v>24.92533232887331</c:v>
                </c:pt>
                <c:pt idx="25">
                  <c:v>25.538723400066871</c:v>
                </c:pt>
                <c:pt idx="26">
                  <c:v>26.12829614844582</c:v>
                </c:pt>
                <c:pt idx="27">
                  <c:v>26.695594737726612</c:v>
                </c:pt>
                <c:pt idx="28">
                  <c:v>27.242025219960379</c:v>
                </c:pt>
                <c:pt idx="29">
                  <c:v>27.768871202299394</c:v>
                </c:pt>
                <c:pt idx="30">
                  <c:v>28.277307367790673</c:v>
                </c:pt>
                <c:pt idx="31">
                  <c:v>28.768411193807285</c:v>
                </c:pt>
                <c:pt idx="32">
                  <c:v>29.243173148887511</c:v>
                </c:pt>
                <c:pt idx="33">
                  <c:v>29.702505598810596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'Burger_Tab. 10'!$AF$6:$AF$39</c:f>
              <c:numCache>
                <c:formatCode>General</c:formatCode>
                <c:ptCount val="34"/>
                <c:pt idx="0">
                  <c:v>0.01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</c:numCache>
            </c:numRef>
          </c:xVal>
          <c:yVal>
            <c:numRef>
              <c:f>'Burger_Tab. 10'!$AH$6:$AH$39</c:f>
              <c:numCache>
                <c:formatCode>General</c:formatCode>
                <c:ptCount val="34"/>
                <c:pt idx="0">
                  <c:v>0.60000000000000009</c:v>
                </c:pt>
                <c:pt idx="1">
                  <c:v>4.2426406871192857</c:v>
                </c:pt>
                <c:pt idx="2">
                  <c:v>6</c:v>
                </c:pt>
                <c:pt idx="3">
                  <c:v>7.3484692283495336</c:v>
                </c:pt>
                <c:pt idx="4">
                  <c:v>8.4852813742385713</c:v>
                </c:pt>
                <c:pt idx="5">
                  <c:v>9.4868329805051381</c:v>
                </c:pt>
                <c:pt idx="6">
                  <c:v>10.392304845413264</c:v>
                </c:pt>
                <c:pt idx="7">
                  <c:v>12</c:v>
                </c:pt>
                <c:pt idx="8">
                  <c:v>13.416407864998739</c:v>
                </c:pt>
                <c:pt idx="9">
                  <c:v>14.696938456699067</c:v>
                </c:pt>
                <c:pt idx="10">
                  <c:v>15.874507866387544</c:v>
                </c:pt>
                <c:pt idx="11">
                  <c:v>16.970562748477143</c:v>
                </c:pt>
                <c:pt idx="12">
                  <c:v>18</c:v>
                </c:pt>
                <c:pt idx="13">
                  <c:v>18.973665961010276</c:v>
                </c:pt>
                <c:pt idx="14">
                  <c:v>19.899748742132399</c:v>
                </c:pt>
                <c:pt idx="15">
                  <c:v>20.784609690826528</c:v>
                </c:pt>
                <c:pt idx="16">
                  <c:v>21.633307652783934</c:v>
                </c:pt>
                <c:pt idx="17">
                  <c:v>22.449944320643649</c:v>
                </c:pt>
                <c:pt idx="18">
                  <c:v>23.237900077244504</c:v>
                </c:pt>
                <c:pt idx="19">
                  <c:v>24</c:v>
                </c:pt>
                <c:pt idx="20">
                  <c:v>24.738633753705962</c:v>
                </c:pt>
                <c:pt idx="21">
                  <c:v>25.45584412271571</c:v>
                </c:pt>
                <c:pt idx="22">
                  <c:v>26.153393661244046</c:v>
                </c:pt>
                <c:pt idx="23">
                  <c:v>26.832815729997478</c:v>
                </c:pt>
                <c:pt idx="24">
                  <c:v>27.495454169735041</c:v>
                </c:pt>
                <c:pt idx="25">
                  <c:v>28.142494558940577</c:v>
                </c:pt>
                <c:pt idx="26">
                  <c:v>28.774989139876315</c:v>
                </c:pt>
                <c:pt idx="27">
                  <c:v>29.393876913398135</c:v>
                </c:pt>
                <c:pt idx="28">
                  <c:v>30</c:v>
                </c:pt>
                <c:pt idx="29">
                  <c:v>30.594117081556707</c:v>
                </c:pt>
                <c:pt idx="30">
                  <c:v>31.176914536239792</c:v>
                </c:pt>
                <c:pt idx="31">
                  <c:v>31.749015732775089</c:v>
                </c:pt>
                <c:pt idx="32">
                  <c:v>32.310988842807021</c:v>
                </c:pt>
                <c:pt idx="33">
                  <c:v>32.863353450309965</c:v>
                </c:pt>
              </c:numCache>
            </c:numRef>
          </c:yVal>
          <c:smooth val="0"/>
        </c:ser>
        <c:ser>
          <c:idx val="5"/>
          <c:order val="4"/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'##BlattmasseHöheKI (2)'!$W$5:$W$36</c:f>
              <c:numCache>
                <c:formatCode>General</c:formatCode>
                <c:ptCount val="32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12.5</c:v>
                </c:pt>
                <c:pt idx="20">
                  <c:v>15</c:v>
                </c:pt>
                <c:pt idx="21">
                  <c:v>17.5</c:v>
                </c:pt>
                <c:pt idx="22">
                  <c:v>20</c:v>
                </c:pt>
                <c:pt idx="23">
                  <c:v>22.5</c:v>
                </c:pt>
                <c:pt idx="24">
                  <c:v>25</c:v>
                </c:pt>
                <c:pt idx="25">
                  <c:v>30</c:v>
                </c:pt>
                <c:pt idx="26">
                  <c:v>35</c:v>
                </c:pt>
                <c:pt idx="27">
                  <c:v>40</c:v>
                </c:pt>
                <c:pt idx="28">
                  <c:v>45</c:v>
                </c:pt>
                <c:pt idx="29">
                  <c:v>50</c:v>
                </c:pt>
                <c:pt idx="30">
                  <c:v>55</c:v>
                </c:pt>
                <c:pt idx="31">
                  <c:v>60</c:v>
                </c:pt>
              </c:numCache>
            </c:numRef>
          </c:xVal>
          <c:yVal>
            <c:numRef>
              <c:f>'##BlattmasseHöheKI (2)'!$Z$5:$Z$36</c:f>
              <c:numCache>
                <c:formatCode>General</c:formatCode>
                <c:ptCount val="32"/>
                <c:pt idx="0">
                  <c:v>0.15697044830173537</c:v>
                </c:pt>
                <c:pt idx="1">
                  <c:v>0.29228145842090641</c:v>
                </c:pt>
                <c:pt idx="2">
                  <c:v>0.42013598598889457</c:v>
                </c:pt>
                <c:pt idx="3">
                  <c:v>0.54321637356607366</c:v>
                </c:pt>
                <c:pt idx="4">
                  <c:v>0.66275517994494859</c:v>
                </c:pt>
                <c:pt idx="5">
                  <c:v>1.2254901960784315</c:v>
                </c:pt>
                <c:pt idx="6">
                  <c:v>1.7500797551136844</c:v>
                </c:pt>
                <c:pt idx="7">
                  <c:v>2.2486595374355671</c:v>
                </c:pt>
                <c:pt idx="8">
                  <c:v>2.7269754935635167</c:v>
                </c:pt>
                <c:pt idx="9">
                  <c:v>3.1884415533945578</c:v>
                </c:pt>
                <c:pt idx="10">
                  <c:v>3.635346625628411</c:v>
                </c:pt>
                <c:pt idx="11">
                  <c:v>4.0693470286383393</c:v>
                </c:pt>
                <c:pt idx="12">
                  <c:v>4.4917062790972109</c:v>
                </c:pt>
                <c:pt idx="13">
                  <c:v>4.9034262623291376</c:v>
                </c:pt>
                <c:pt idx="14">
                  <c:v>5.6980870887616906</c:v>
                </c:pt>
                <c:pt idx="15">
                  <c:v>6.4584509132440679</c:v>
                </c:pt>
                <c:pt idx="16">
                  <c:v>7.1883263190164772</c:v>
                </c:pt>
                <c:pt idx="17">
                  <c:v>7.8906893912492615</c:v>
                </c:pt>
                <c:pt idx="18">
                  <c:v>8.5679500123503018</c:v>
                </c:pt>
                <c:pt idx="19">
                  <c:v>10.163703645529852</c:v>
                </c:pt>
                <c:pt idx="20">
                  <c:v>11.638593384939822</c:v>
                </c:pt>
                <c:pt idx="21">
                  <c:v>13.010104294551715</c:v>
                </c:pt>
                <c:pt idx="22">
                  <c:v>14.291570990505297</c:v>
                </c:pt>
                <c:pt idx="23">
                  <c:v>15.493570869043118</c:v>
                </c:pt>
                <c:pt idx="24">
                  <c:v>16.62473101355846</c:v>
                </c:pt>
                <c:pt idx="25">
                  <c:v>18.702161493465155</c:v>
                </c:pt>
                <c:pt idx="26">
                  <c:v>20.569421886607355</c:v>
                </c:pt>
                <c:pt idx="27">
                  <c:v>22.260554406268156</c:v>
                </c:pt>
                <c:pt idx="28">
                  <c:v>23.801875376213879</c:v>
                </c:pt>
                <c:pt idx="29">
                  <c:v>25.214244053732706</c:v>
                </c:pt>
                <c:pt idx="30">
                  <c:v>26.514518131087605</c:v>
                </c:pt>
                <c:pt idx="31">
                  <c:v>27.716535991054847</c:v>
                </c:pt>
              </c:numCache>
            </c:numRef>
          </c:yVal>
          <c:smooth val="0"/>
        </c:ser>
        <c:ser>
          <c:idx val="4"/>
          <c:order val="5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'##BlattmasseHöheKI (2)'!$W$5:$W$36</c:f>
              <c:numCache>
                <c:formatCode>General</c:formatCode>
                <c:ptCount val="32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12.5</c:v>
                </c:pt>
                <c:pt idx="20">
                  <c:v>15</c:v>
                </c:pt>
                <c:pt idx="21">
                  <c:v>17.5</c:v>
                </c:pt>
                <c:pt idx="22">
                  <c:v>20</c:v>
                </c:pt>
                <c:pt idx="23">
                  <c:v>22.5</c:v>
                </c:pt>
                <c:pt idx="24">
                  <c:v>25</c:v>
                </c:pt>
                <c:pt idx="25">
                  <c:v>30</c:v>
                </c:pt>
                <c:pt idx="26">
                  <c:v>35</c:v>
                </c:pt>
                <c:pt idx="27">
                  <c:v>40</c:v>
                </c:pt>
                <c:pt idx="28">
                  <c:v>45</c:v>
                </c:pt>
                <c:pt idx="29">
                  <c:v>50</c:v>
                </c:pt>
                <c:pt idx="30">
                  <c:v>55</c:v>
                </c:pt>
                <c:pt idx="31">
                  <c:v>60</c:v>
                </c:pt>
              </c:numCache>
            </c:numRef>
          </c:xVal>
          <c:yVal>
            <c:numRef>
              <c:f>'##BlattmasseHöheKI (2)'!$Y$5:$Y$36</c:f>
              <c:numCache>
                <c:formatCode>General</c:formatCode>
                <c:ptCount val="32"/>
                <c:pt idx="0">
                  <c:v>2.5426905497345231</c:v>
                </c:pt>
                <c:pt idx="1">
                  <c:v>3.614992489261927</c:v>
                </c:pt>
                <c:pt idx="2">
                  <c:v>4.4341473016190003</c:v>
                </c:pt>
                <c:pt idx="3">
                  <c:v>5.1210767478575088</c:v>
                </c:pt>
                <c:pt idx="4">
                  <c:v>5.7230220630198421</c:v>
                </c:pt>
                <c:pt idx="5">
                  <c:v>8.0506091846298027</c:v>
                </c:pt>
                <c:pt idx="6">
                  <c:v>9.7958479404689314</c:v>
                </c:pt>
                <c:pt idx="7">
                  <c:v>11.237986052307965</c:v>
                </c:pt>
                <c:pt idx="8">
                  <c:v>12.485994611089934</c:v>
                </c:pt>
                <c:pt idx="9">
                  <c:v>13.596011472386765</c:v>
                </c:pt>
                <c:pt idx="10">
                  <c:v>14.601486439979839</c:v>
                </c:pt>
                <c:pt idx="11">
                  <c:v>15.524260782615533</c:v>
                </c:pt>
                <c:pt idx="12">
                  <c:v>16.379528907675056</c:v>
                </c:pt>
                <c:pt idx="13">
                  <c:v>17.178365931217829</c:v>
                </c:pt>
                <c:pt idx="14">
                  <c:v>18.638351854288537</c:v>
                </c:pt>
                <c:pt idx="15">
                  <c:v>19.951812076744798</c:v>
                </c:pt>
                <c:pt idx="16">
                  <c:v>21.149765157883788</c:v>
                </c:pt>
                <c:pt idx="17">
                  <c:v>22.253749989958362</c:v>
                </c:pt>
                <c:pt idx="18">
                  <c:v>23.279437377202676</c:v>
                </c:pt>
                <c:pt idx="19">
                  <c:v>25.57233343759108</c:v>
                </c:pt>
                <c:pt idx="20">
                  <c:v>27.56858536370634</c:v>
                </c:pt>
                <c:pt idx="21">
                  <c:v>29.342835421565425</c:v>
                </c:pt>
                <c:pt idx="22">
                  <c:v>30.943477797614296</c:v>
                </c:pt>
                <c:pt idx="23">
                  <c:v>32.403947638120691</c:v>
                </c:pt>
                <c:pt idx="24">
                  <c:v>33.748452287674148</c:v>
                </c:pt>
                <c:pt idx="25">
                  <c:v>36.158104866986996</c:v>
                </c:pt>
                <c:pt idx="26">
                  <c:v>38.274918405710224</c:v>
                </c:pt>
                <c:pt idx="27">
                  <c:v>40.164858444869665</c:v>
                </c:pt>
                <c:pt idx="28">
                  <c:v>41.873190310453431</c:v>
                </c:pt>
                <c:pt idx="29">
                  <c:v>43.432475532128066</c:v>
                </c:pt>
                <c:pt idx="30">
                  <c:v>44.867003655135548</c:v>
                </c:pt>
                <c:pt idx="31">
                  <c:v>46.195424466230719</c:v>
                </c:pt>
              </c:numCache>
            </c:numRef>
          </c:yVal>
          <c:smooth val="0"/>
        </c:ser>
        <c:ser>
          <c:idx val="6"/>
          <c:order val="6"/>
          <c:tx>
            <c:v>UGrz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'##BlattmasseHöheKI (2)'!$R$42:$R$56</c:f>
              <c:numCache>
                <c:formatCode>General</c:formatCode>
                <c:ptCount val="15"/>
                <c:pt idx="0">
                  <c:v>7.2000000000000005E-4</c:v>
                </c:pt>
                <c:pt idx="1">
                  <c:v>4.8000000000000001E-2</c:v>
                </c:pt>
                <c:pt idx="2">
                  <c:v>3.4</c:v>
                </c:pt>
                <c:pt idx="3">
                  <c:v>3.9</c:v>
                </c:pt>
                <c:pt idx="4">
                  <c:v>4.4800000000000004</c:v>
                </c:pt>
                <c:pt idx="5">
                  <c:v>4.5</c:v>
                </c:pt>
                <c:pt idx="6">
                  <c:v>4.95</c:v>
                </c:pt>
                <c:pt idx="7">
                  <c:v>5.01</c:v>
                </c:pt>
                <c:pt idx="8">
                  <c:v>6.03</c:v>
                </c:pt>
                <c:pt idx="9">
                  <c:v>6.52</c:v>
                </c:pt>
                <c:pt idx="10">
                  <c:v>6.6</c:v>
                </c:pt>
                <c:pt idx="11">
                  <c:v>7.73</c:v>
                </c:pt>
                <c:pt idx="12">
                  <c:v>9</c:v>
                </c:pt>
                <c:pt idx="13">
                  <c:v>23.3</c:v>
                </c:pt>
                <c:pt idx="14">
                  <c:v>51.39</c:v>
                </c:pt>
              </c:numCache>
            </c:numRef>
          </c:xVal>
          <c:yVal>
            <c:numRef>
              <c:f>'##BlattmasseHöheKI (2)'!$X$42:$X$56</c:f>
              <c:numCache>
                <c:formatCode>General</c:formatCode>
                <c:ptCount val="15"/>
                <c:pt idx="0">
                  <c:v>3.6135145382881861E-3</c:v>
                </c:pt>
                <c:pt idx="1">
                  <c:v>0.14353902429791621</c:v>
                </c:pt>
                <c:pt idx="2">
                  <c:v>5.5258691887955864</c:v>
                </c:pt>
                <c:pt idx="3">
                  <c:v>6.1655515080651302</c:v>
                </c:pt>
                <c:pt idx="4">
                  <c:v>6.8785197620714706</c:v>
                </c:pt>
                <c:pt idx="5">
                  <c:v>6.9025888461634937</c:v>
                </c:pt>
                <c:pt idx="6">
                  <c:v>7.4356285576743204</c:v>
                </c:pt>
                <c:pt idx="7">
                  <c:v>7.5055065788682667</c:v>
                </c:pt>
                <c:pt idx="8">
                  <c:v>8.6539001456916189</c:v>
                </c:pt>
                <c:pt idx="9">
                  <c:v>9.1810450117901077</c:v>
                </c:pt>
                <c:pt idx="10">
                  <c:v>9.2657086452965736</c:v>
                </c:pt>
                <c:pt idx="11">
                  <c:v>10.422539658177842</c:v>
                </c:pt>
                <c:pt idx="12">
                  <c:v>11.643740314634714</c:v>
                </c:pt>
                <c:pt idx="13">
                  <c:v>21.742439832326955</c:v>
                </c:pt>
                <c:pt idx="14">
                  <c:v>32.593440215819349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25120"/>
        <c:axId val="218725696"/>
      </c:scatterChart>
      <c:valAx>
        <c:axId val="21872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Blattmasse in kg TS</a:t>
                </a:r>
              </a:p>
            </c:rich>
          </c:tx>
          <c:layout>
            <c:manualLayout>
              <c:xMode val="edge"/>
              <c:yMode val="edge"/>
              <c:x val="0.42242714272784865"/>
              <c:y val="0.8594027048702245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725696"/>
        <c:crosses val="autoZero"/>
        <c:crossBetween val="midCat"/>
      </c:valAx>
      <c:valAx>
        <c:axId val="218725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Höhe in m</a:t>
                </a:r>
              </a:p>
            </c:rich>
          </c:tx>
          <c:layout>
            <c:manualLayout>
              <c:xMode val="edge"/>
              <c:yMode val="edge"/>
              <c:x val="1.7241944972395694E-2"/>
              <c:y val="0.387165354330708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72512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763394877364466"/>
          <c:y val="0.93579414552347628"/>
          <c:w val="0.75541180197302926"/>
          <c:h val="5.208497375328080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KronenD-BHD-Relationen</a:t>
            </a:r>
          </a:p>
        </c:rich>
      </c:tx>
      <c:layout>
        <c:manualLayout>
          <c:xMode val="edge"/>
          <c:yMode val="edge"/>
          <c:x val="0.35817129649593366"/>
          <c:y val="2.94127296587926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88613663584088E-2"/>
          <c:y val="0.13971040200243678"/>
          <c:w val="0.8729741487485968"/>
          <c:h val="0.64156487235329518"/>
        </c:manualLayout>
      </c:layout>
      <c:scatterChart>
        <c:scatterStyle val="lineMarker"/>
        <c:varyColors val="0"/>
        <c:ser>
          <c:idx val="0"/>
          <c:order val="0"/>
          <c:tx>
            <c:v>Birke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52825297553898443"/>
                  <c:y val="-0.2290762427194832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6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(Bartsch!$H$4:$H$107,Bartsch!$E$223:$E$230)</c:f>
              <c:numCache>
                <c:formatCode>General</c:formatCode>
                <c:ptCount val="112"/>
                <c:pt idx="0">
                  <c:v>3</c:v>
                </c:pt>
                <c:pt idx="1">
                  <c:v>3.5</c:v>
                </c:pt>
                <c:pt idx="2">
                  <c:v>5</c:v>
                </c:pt>
                <c:pt idx="3">
                  <c:v>2.5</c:v>
                </c:pt>
                <c:pt idx="4">
                  <c:v>3</c:v>
                </c:pt>
                <c:pt idx="5">
                  <c:v>3</c:v>
                </c:pt>
                <c:pt idx="6">
                  <c:v>4.75</c:v>
                </c:pt>
                <c:pt idx="7">
                  <c:v>3.5</c:v>
                </c:pt>
                <c:pt idx="8">
                  <c:v>3.5</c:v>
                </c:pt>
                <c:pt idx="9">
                  <c:v>4.5</c:v>
                </c:pt>
                <c:pt idx="10">
                  <c:v>7.25</c:v>
                </c:pt>
                <c:pt idx="11">
                  <c:v>5</c:v>
                </c:pt>
                <c:pt idx="12">
                  <c:v>4.75</c:v>
                </c:pt>
                <c:pt idx="13">
                  <c:v>4.5</c:v>
                </c:pt>
                <c:pt idx="14">
                  <c:v>4.5</c:v>
                </c:pt>
                <c:pt idx="15">
                  <c:v>6</c:v>
                </c:pt>
                <c:pt idx="16">
                  <c:v>5.25</c:v>
                </c:pt>
                <c:pt idx="17">
                  <c:v>5.25</c:v>
                </c:pt>
                <c:pt idx="18">
                  <c:v>6.5</c:v>
                </c:pt>
                <c:pt idx="19">
                  <c:v>5.25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11.5</c:v>
                </c:pt>
                <c:pt idx="24">
                  <c:v>9.25</c:v>
                </c:pt>
                <c:pt idx="25">
                  <c:v>11</c:v>
                </c:pt>
                <c:pt idx="26">
                  <c:v>9.25</c:v>
                </c:pt>
                <c:pt idx="27">
                  <c:v>10.75</c:v>
                </c:pt>
                <c:pt idx="28">
                  <c:v>8.75</c:v>
                </c:pt>
                <c:pt idx="29">
                  <c:v>9.75</c:v>
                </c:pt>
                <c:pt idx="30">
                  <c:v>12.5</c:v>
                </c:pt>
                <c:pt idx="31">
                  <c:v>11</c:v>
                </c:pt>
                <c:pt idx="32">
                  <c:v>12.25</c:v>
                </c:pt>
                <c:pt idx="33">
                  <c:v>8.75</c:v>
                </c:pt>
                <c:pt idx="34">
                  <c:v>12.25</c:v>
                </c:pt>
                <c:pt idx="35">
                  <c:v>9</c:v>
                </c:pt>
                <c:pt idx="36">
                  <c:v>13.25</c:v>
                </c:pt>
                <c:pt idx="37">
                  <c:v>14.5</c:v>
                </c:pt>
                <c:pt idx="38">
                  <c:v>12</c:v>
                </c:pt>
                <c:pt idx="39">
                  <c:v>11.25</c:v>
                </c:pt>
                <c:pt idx="40">
                  <c:v>19.75</c:v>
                </c:pt>
                <c:pt idx="41">
                  <c:v>22.75</c:v>
                </c:pt>
                <c:pt idx="42">
                  <c:v>20.5</c:v>
                </c:pt>
                <c:pt idx="43">
                  <c:v>19</c:v>
                </c:pt>
                <c:pt idx="44">
                  <c:v>24.25</c:v>
                </c:pt>
                <c:pt idx="45">
                  <c:v>24</c:v>
                </c:pt>
                <c:pt idx="46">
                  <c:v>23</c:v>
                </c:pt>
                <c:pt idx="47">
                  <c:v>23.75</c:v>
                </c:pt>
                <c:pt idx="48">
                  <c:v>21.75</c:v>
                </c:pt>
                <c:pt idx="49">
                  <c:v>22.75</c:v>
                </c:pt>
                <c:pt idx="50">
                  <c:v>29.75</c:v>
                </c:pt>
                <c:pt idx="51">
                  <c:v>29.75</c:v>
                </c:pt>
                <c:pt idx="52">
                  <c:v>22.5</c:v>
                </c:pt>
                <c:pt idx="53">
                  <c:v>18.25</c:v>
                </c:pt>
                <c:pt idx="54">
                  <c:v>27.5</c:v>
                </c:pt>
                <c:pt idx="55">
                  <c:v>23.75</c:v>
                </c:pt>
                <c:pt idx="56">
                  <c:v>25</c:v>
                </c:pt>
                <c:pt idx="57">
                  <c:v>23.75</c:v>
                </c:pt>
                <c:pt idx="58">
                  <c:v>24.5</c:v>
                </c:pt>
                <c:pt idx="59">
                  <c:v>27.25</c:v>
                </c:pt>
                <c:pt idx="60">
                  <c:v>29.5</c:v>
                </c:pt>
                <c:pt idx="61">
                  <c:v>29.25</c:v>
                </c:pt>
                <c:pt idx="62">
                  <c:v>27</c:v>
                </c:pt>
                <c:pt idx="63">
                  <c:v>29</c:v>
                </c:pt>
                <c:pt idx="64">
                  <c:v>34.25</c:v>
                </c:pt>
                <c:pt idx="65">
                  <c:v>32.75</c:v>
                </c:pt>
                <c:pt idx="66">
                  <c:v>35.5</c:v>
                </c:pt>
                <c:pt idx="67">
                  <c:v>29</c:v>
                </c:pt>
                <c:pt idx="68">
                  <c:v>26.75</c:v>
                </c:pt>
                <c:pt idx="69">
                  <c:v>29.25</c:v>
                </c:pt>
                <c:pt idx="70">
                  <c:v>23.5</c:v>
                </c:pt>
                <c:pt idx="71">
                  <c:v>31.75</c:v>
                </c:pt>
                <c:pt idx="72">
                  <c:v>20.75</c:v>
                </c:pt>
                <c:pt idx="73">
                  <c:v>36.75</c:v>
                </c:pt>
                <c:pt idx="74">
                  <c:v>36.75</c:v>
                </c:pt>
                <c:pt idx="75">
                  <c:v>38.25</c:v>
                </c:pt>
                <c:pt idx="76">
                  <c:v>37.75</c:v>
                </c:pt>
                <c:pt idx="77">
                  <c:v>28.75</c:v>
                </c:pt>
                <c:pt idx="78">
                  <c:v>34</c:v>
                </c:pt>
                <c:pt idx="79">
                  <c:v>34</c:v>
                </c:pt>
                <c:pt idx="80">
                  <c:v>32.5</c:v>
                </c:pt>
                <c:pt idx="81">
                  <c:v>35.5</c:v>
                </c:pt>
                <c:pt idx="82">
                  <c:v>34.25</c:v>
                </c:pt>
                <c:pt idx="83">
                  <c:v>33.75</c:v>
                </c:pt>
                <c:pt idx="84">
                  <c:v>41.75</c:v>
                </c:pt>
                <c:pt idx="85">
                  <c:v>45</c:v>
                </c:pt>
                <c:pt idx="86">
                  <c:v>33.25</c:v>
                </c:pt>
                <c:pt idx="87">
                  <c:v>43.25</c:v>
                </c:pt>
                <c:pt idx="88">
                  <c:v>18.5</c:v>
                </c:pt>
                <c:pt idx="89">
                  <c:v>24.25</c:v>
                </c:pt>
                <c:pt idx="90">
                  <c:v>26.75</c:v>
                </c:pt>
                <c:pt idx="91">
                  <c:v>24.25</c:v>
                </c:pt>
                <c:pt idx="92">
                  <c:v>26.75</c:v>
                </c:pt>
                <c:pt idx="93">
                  <c:v>28.75</c:v>
                </c:pt>
                <c:pt idx="94">
                  <c:v>52.25</c:v>
                </c:pt>
                <c:pt idx="95">
                  <c:v>53.75</c:v>
                </c:pt>
                <c:pt idx="96">
                  <c:v>48.5</c:v>
                </c:pt>
                <c:pt idx="97">
                  <c:v>47.25</c:v>
                </c:pt>
                <c:pt idx="98">
                  <c:v>49</c:v>
                </c:pt>
                <c:pt idx="99">
                  <c:v>50.75</c:v>
                </c:pt>
                <c:pt idx="100">
                  <c:v>38.75</c:v>
                </c:pt>
                <c:pt idx="101">
                  <c:v>43</c:v>
                </c:pt>
                <c:pt idx="102">
                  <c:v>37.5</c:v>
                </c:pt>
                <c:pt idx="103">
                  <c:v>33.5</c:v>
                </c:pt>
                <c:pt idx="104">
                  <c:v>6</c:v>
                </c:pt>
                <c:pt idx="105">
                  <c:v>10</c:v>
                </c:pt>
                <c:pt idx="106">
                  <c:v>7</c:v>
                </c:pt>
                <c:pt idx="107">
                  <c:v>12</c:v>
                </c:pt>
                <c:pt idx="108">
                  <c:v>14</c:v>
                </c:pt>
                <c:pt idx="109">
                  <c:v>21</c:v>
                </c:pt>
                <c:pt idx="110">
                  <c:v>18</c:v>
                </c:pt>
                <c:pt idx="111">
                  <c:v>19</c:v>
                </c:pt>
              </c:numCache>
            </c:numRef>
          </c:xVal>
          <c:yVal>
            <c:numRef>
              <c:f>(Bartsch!$M$4:$M$107,Bartsch!$J$223:$J$230)</c:f>
              <c:numCache>
                <c:formatCode>General</c:formatCode>
                <c:ptCount val="112"/>
                <c:pt idx="0">
                  <c:v>1.6700000000000002</c:v>
                </c:pt>
                <c:pt idx="1">
                  <c:v>1.4849999999999999</c:v>
                </c:pt>
                <c:pt idx="2">
                  <c:v>2.1500000000000004</c:v>
                </c:pt>
                <c:pt idx="3">
                  <c:v>1.2850000000000001</c:v>
                </c:pt>
                <c:pt idx="4">
                  <c:v>1.365</c:v>
                </c:pt>
                <c:pt idx="5">
                  <c:v>1.6099999999999999</c:v>
                </c:pt>
                <c:pt idx="6">
                  <c:v>2.13</c:v>
                </c:pt>
                <c:pt idx="7">
                  <c:v>1.135</c:v>
                </c:pt>
                <c:pt idx="8">
                  <c:v>1.3250000000000002</c:v>
                </c:pt>
                <c:pt idx="9">
                  <c:v>1.73</c:v>
                </c:pt>
                <c:pt idx="10">
                  <c:v>2.7549999999999999</c:v>
                </c:pt>
                <c:pt idx="11">
                  <c:v>1.9050000000000002</c:v>
                </c:pt>
                <c:pt idx="12">
                  <c:v>1.64</c:v>
                </c:pt>
                <c:pt idx="13">
                  <c:v>2.12</c:v>
                </c:pt>
                <c:pt idx="14">
                  <c:v>1.71</c:v>
                </c:pt>
                <c:pt idx="15">
                  <c:v>2.17</c:v>
                </c:pt>
                <c:pt idx="16">
                  <c:v>2.2450000000000001</c:v>
                </c:pt>
                <c:pt idx="17">
                  <c:v>2.27</c:v>
                </c:pt>
                <c:pt idx="18">
                  <c:v>2.8</c:v>
                </c:pt>
                <c:pt idx="19">
                  <c:v>2</c:v>
                </c:pt>
                <c:pt idx="20">
                  <c:v>2.71</c:v>
                </c:pt>
                <c:pt idx="21">
                  <c:v>3.6549999999999998</c:v>
                </c:pt>
                <c:pt idx="22">
                  <c:v>2.8</c:v>
                </c:pt>
                <c:pt idx="23">
                  <c:v>3.4649999999999994</c:v>
                </c:pt>
                <c:pt idx="24">
                  <c:v>2.82</c:v>
                </c:pt>
                <c:pt idx="25">
                  <c:v>4.2149999999999999</c:v>
                </c:pt>
                <c:pt idx="26">
                  <c:v>2.665</c:v>
                </c:pt>
                <c:pt idx="27">
                  <c:v>3.79</c:v>
                </c:pt>
                <c:pt idx="28">
                  <c:v>3.5</c:v>
                </c:pt>
                <c:pt idx="29">
                  <c:v>2.915</c:v>
                </c:pt>
                <c:pt idx="30">
                  <c:v>3.8</c:v>
                </c:pt>
                <c:pt idx="31">
                  <c:v>3.2549999999999999</c:v>
                </c:pt>
                <c:pt idx="32">
                  <c:v>3.6350000000000002</c:v>
                </c:pt>
                <c:pt idx="33">
                  <c:v>2.95</c:v>
                </c:pt>
                <c:pt idx="34">
                  <c:v>4.7300000000000004</c:v>
                </c:pt>
                <c:pt idx="35">
                  <c:v>2.8200000000000003</c:v>
                </c:pt>
                <c:pt idx="36">
                  <c:v>3.7449999999999997</c:v>
                </c:pt>
                <c:pt idx="37">
                  <c:v>3.4749999999999996</c:v>
                </c:pt>
                <c:pt idx="38">
                  <c:v>2.9250000000000003</c:v>
                </c:pt>
                <c:pt idx="39">
                  <c:v>3.3250000000000002</c:v>
                </c:pt>
                <c:pt idx="40">
                  <c:v>4.8099999999999996</c:v>
                </c:pt>
                <c:pt idx="41">
                  <c:v>4.5950000000000006</c:v>
                </c:pt>
                <c:pt idx="42">
                  <c:v>5.1950000000000003</c:v>
                </c:pt>
                <c:pt idx="43">
                  <c:v>5.1099999999999994</c:v>
                </c:pt>
                <c:pt idx="44">
                  <c:v>5.2349999999999994</c:v>
                </c:pt>
                <c:pt idx="45">
                  <c:v>5.13</c:v>
                </c:pt>
                <c:pt idx="46">
                  <c:v>6.1</c:v>
                </c:pt>
                <c:pt idx="47">
                  <c:v>5.71</c:v>
                </c:pt>
                <c:pt idx="48">
                  <c:v>4.625</c:v>
                </c:pt>
                <c:pt idx="49">
                  <c:v>6.06</c:v>
                </c:pt>
                <c:pt idx="50">
                  <c:v>8.11</c:v>
                </c:pt>
                <c:pt idx="51">
                  <c:v>6.7200000000000006</c:v>
                </c:pt>
                <c:pt idx="52">
                  <c:v>6.07</c:v>
                </c:pt>
                <c:pt idx="53">
                  <c:v>4.01</c:v>
                </c:pt>
                <c:pt idx="54">
                  <c:v>6.9799999999999995</c:v>
                </c:pt>
                <c:pt idx="55">
                  <c:v>5.415</c:v>
                </c:pt>
                <c:pt idx="56">
                  <c:v>6.19</c:v>
                </c:pt>
                <c:pt idx="57">
                  <c:v>5.86</c:v>
                </c:pt>
                <c:pt idx="58">
                  <c:v>7.48</c:v>
                </c:pt>
                <c:pt idx="59">
                  <c:v>8.16</c:v>
                </c:pt>
                <c:pt idx="60">
                  <c:v>5.99</c:v>
                </c:pt>
                <c:pt idx="61">
                  <c:v>7.0400000000000009</c:v>
                </c:pt>
                <c:pt idx="62">
                  <c:v>6.6150000000000002</c:v>
                </c:pt>
                <c:pt idx="63">
                  <c:v>6.93</c:v>
                </c:pt>
                <c:pt idx="64">
                  <c:v>7.3949999999999996</c:v>
                </c:pt>
                <c:pt idx="65">
                  <c:v>7.07</c:v>
                </c:pt>
                <c:pt idx="66">
                  <c:v>9.8449999999999989</c:v>
                </c:pt>
                <c:pt idx="67">
                  <c:v>9.2200000000000006</c:v>
                </c:pt>
                <c:pt idx="68">
                  <c:v>7.669999999999999</c:v>
                </c:pt>
                <c:pt idx="69">
                  <c:v>7.68</c:v>
                </c:pt>
                <c:pt idx="70">
                  <c:v>6.2050000000000001</c:v>
                </c:pt>
                <c:pt idx="71">
                  <c:v>6.9550000000000001</c:v>
                </c:pt>
                <c:pt idx="72">
                  <c:v>5.08</c:v>
                </c:pt>
                <c:pt idx="73">
                  <c:v>7.6950000000000003</c:v>
                </c:pt>
                <c:pt idx="74">
                  <c:v>7.6949999999999994</c:v>
                </c:pt>
                <c:pt idx="75">
                  <c:v>6.4350000000000005</c:v>
                </c:pt>
                <c:pt idx="76">
                  <c:v>5.1850000000000005</c:v>
                </c:pt>
                <c:pt idx="77">
                  <c:v>6.4250000000000007</c:v>
                </c:pt>
                <c:pt idx="78">
                  <c:v>9.4649999999999999</c:v>
                </c:pt>
                <c:pt idx="79">
                  <c:v>6.5299999999999994</c:v>
                </c:pt>
                <c:pt idx="80">
                  <c:v>6.27</c:v>
                </c:pt>
                <c:pt idx="81">
                  <c:v>6.8299999999999992</c:v>
                </c:pt>
                <c:pt idx="82">
                  <c:v>4.6349999999999998</c:v>
                </c:pt>
                <c:pt idx="83">
                  <c:v>6.95</c:v>
                </c:pt>
                <c:pt idx="84">
                  <c:v>8.2650000000000006</c:v>
                </c:pt>
                <c:pt idx="85">
                  <c:v>9.57</c:v>
                </c:pt>
                <c:pt idx="86">
                  <c:v>5.34</c:v>
                </c:pt>
                <c:pt idx="87">
                  <c:v>7.995000000000001</c:v>
                </c:pt>
                <c:pt idx="88">
                  <c:v>4.3000000000000007</c:v>
                </c:pt>
                <c:pt idx="89">
                  <c:v>4.17</c:v>
                </c:pt>
                <c:pt idx="90">
                  <c:v>3.9649999999999999</c:v>
                </c:pt>
                <c:pt idx="91">
                  <c:v>4.45</c:v>
                </c:pt>
                <c:pt idx="92">
                  <c:v>3.7850000000000001</c:v>
                </c:pt>
                <c:pt idx="93">
                  <c:v>5.4450000000000003</c:v>
                </c:pt>
                <c:pt idx="94">
                  <c:v>8.81</c:v>
                </c:pt>
                <c:pt idx="95">
                  <c:v>12.14</c:v>
                </c:pt>
                <c:pt idx="96">
                  <c:v>10.649999999999999</c:v>
                </c:pt>
                <c:pt idx="97">
                  <c:v>11.675000000000001</c:v>
                </c:pt>
                <c:pt idx="98">
                  <c:v>8.2199999999999989</c:v>
                </c:pt>
                <c:pt idx="99">
                  <c:v>10.684999999999999</c:v>
                </c:pt>
                <c:pt idx="100">
                  <c:v>8.39</c:v>
                </c:pt>
                <c:pt idx="101">
                  <c:v>8.7650000000000006</c:v>
                </c:pt>
                <c:pt idx="102">
                  <c:v>6.78</c:v>
                </c:pt>
                <c:pt idx="103">
                  <c:v>6.9749999999999996</c:v>
                </c:pt>
                <c:pt idx="104">
                  <c:v>1.4000000000000001</c:v>
                </c:pt>
                <c:pt idx="105">
                  <c:v>2</c:v>
                </c:pt>
                <c:pt idx="106">
                  <c:v>1.7000000000000002</c:v>
                </c:pt>
                <c:pt idx="107">
                  <c:v>2.5</c:v>
                </c:pt>
                <c:pt idx="108">
                  <c:v>2.9000000000000004</c:v>
                </c:pt>
                <c:pt idx="109">
                  <c:v>3.3000000000000003</c:v>
                </c:pt>
                <c:pt idx="110">
                  <c:v>3.2</c:v>
                </c:pt>
                <c:pt idx="111">
                  <c:v>3.5999999999999996</c:v>
                </c:pt>
              </c:numCache>
            </c:numRef>
          </c:yVal>
          <c:smooth val="0"/>
        </c:ser>
        <c:ser>
          <c:idx val="1"/>
          <c:order val="1"/>
          <c:tx>
            <c:v>Kiefer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66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9.9162944019378196E-2"/>
                  <c:y val="-0.3678322399235375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6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(Bartsch!$H$108:$H$211,Bartsch!$E$223:$E$230)</c:f>
              <c:numCache>
                <c:formatCode>General</c:formatCode>
                <c:ptCount val="112"/>
                <c:pt idx="0">
                  <c:v>4.5</c:v>
                </c:pt>
                <c:pt idx="1">
                  <c:v>5</c:v>
                </c:pt>
                <c:pt idx="2">
                  <c:v>5</c:v>
                </c:pt>
                <c:pt idx="3">
                  <c:v>3.5</c:v>
                </c:pt>
                <c:pt idx="4">
                  <c:v>3.5</c:v>
                </c:pt>
                <c:pt idx="5">
                  <c:v>5</c:v>
                </c:pt>
                <c:pt idx="6">
                  <c:v>6</c:v>
                </c:pt>
                <c:pt idx="7">
                  <c:v>4.5</c:v>
                </c:pt>
                <c:pt idx="8">
                  <c:v>5</c:v>
                </c:pt>
                <c:pt idx="9">
                  <c:v>6</c:v>
                </c:pt>
                <c:pt idx="10">
                  <c:v>5.5</c:v>
                </c:pt>
                <c:pt idx="11">
                  <c:v>5.5</c:v>
                </c:pt>
                <c:pt idx="12">
                  <c:v>6.25</c:v>
                </c:pt>
                <c:pt idx="13">
                  <c:v>4</c:v>
                </c:pt>
                <c:pt idx="14">
                  <c:v>5</c:v>
                </c:pt>
                <c:pt idx="15">
                  <c:v>6.25</c:v>
                </c:pt>
                <c:pt idx="16">
                  <c:v>6.75</c:v>
                </c:pt>
                <c:pt idx="17">
                  <c:v>6.75</c:v>
                </c:pt>
                <c:pt idx="18">
                  <c:v>5</c:v>
                </c:pt>
                <c:pt idx="19">
                  <c:v>6.5</c:v>
                </c:pt>
                <c:pt idx="20">
                  <c:v>13.75</c:v>
                </c:pt>
                <c:pt idx="21">
                  <c:v>12.5</c:v>
                </c:pt>
                <c:pt idx="22">
                  <c:v>13.5</c:v>
                </c:pt>
                <c:pt idx="23">
                  <c:v>10.25</c:v>
                </c:pt>
                <c:pt idx="24">
                  <c:v>13.5</c:v>
                </c:pt>
                <c:pt idx="25">
                  <c:v>13.5</c:v>
                </c:pt>
                <c:pt idx="26">
                  <c:v>13.25</c:v>
                </c:pt>
                <c:pt idx="27">
                  <c:v>16.75</c:v>
                </c:pt>
                <c:pt idx="28">
                  <c:v>15.5</c:v>
                </c:pt>
                <c:pt idx="29">
                  <c:v>14.25</c:v>
                </c:pt>
                <c:pt idx="30">
                  <c:v>11.75</c:v>
                </c:pt>
                <c:pt idx="31">
                  <c:v>13.75</c:v>
                </c:pt>
                <c:pt idx="32">
                  <c:v>12</c:v>
                </c:pt>
                <c:pt idx="33">
                  <c:v>16.5</c:v>
                </c:pt>
                <c:pt idx="34">
                  <c:v>13</c:v>
                </c:pt>
                <c:pt idx="35">
                  <c:v>9.75</c:v>
                </c:pt>
                <c:pt idx="36">
                  <c:v>16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17</c:v>
                </c:pt>
                <c:pt idx="41">
                  <c:v>22.75</c:v>
                </c:pt>
                <c:pt idx="42">
                  <c:v>26.25</c:v>
                </c:pt>
                <c:pt idx="43">
                  <c:v>23.5</c:v>
                </c:pt>
                <c:pt idx="44">
                  <c:v>19</c:v>
                </c:pt>
                <c:pt idx="45">
                  <c:v>20</c:v>
                </c:pt>
                <c:pt idx="46">
                  <c:v>23.75</c:v>
                </c:pt>
                <c:pt idx="47">
                  <c:v>19.75</c:v>
                </c:pt>
                <c:pt idx="48">
                  <c:v>23</c:v>
                </c:pt>
                <c:pt idx="49">
                  <c:v>17.75</c:v>
                </c:pt>
                <c:pt idx="50">
                  <c:v>25.5</c:v>
                </c:pt>
                <c:pt idx="51">
                  <c:v>20.25</c:v>
                </c:pt>
                <c:pt idx="52">
                  <c:v>20.5</c:v>
                </c:pt>
                <c:pt idx="53">
                  <c:v>21.75</c:v>
                </c:pt>
                <c:pt idx="54">
                  <c:v>21.5</c:v>
                </c:pt>
                <c:pt idx="55">
                  <c:v>24.5</c:v>
                </c:pt>
                <c:pt idx="56">
                  <c:v>22.5</c:v>
                </c:pt>
                <c:pt idx="57">
                  <c:v>26.25</c:v>
                </c:pt>
                <c:pt idx="58">
                  <c:v>21.75</c:v>
                </c:pt>
                <c:pt idx="59">
                  <c:v>21.75</c:v>
                </c:pt>
                <c:pt idx="60">
                  <c:v>35.75</c:v>
                </c:pt>
                <c:pt idx="61">
                  <c:v>32.5</c:v>
                </c:pt>
                <c:pt idx="62">
                  <c:v>31.5</c:v>
                </c:pt>
                <c:pt idx="63">
                  <c:v>34.25</c:v>
                </c:pt>
                <c:pt idx="64">
                  <c:v>33</c:v>
                </c:pt>
                <c:pt idx="65">
                  <c:v>28.5</c:v>
                </c:pt>
                <c:pt idx="66">
                  <c:v>25.25</c:v>
                </c:pt>
                <c:pt idx="67">
                  <c:v>26.25</c:v>
                </c:pt>
                <c:pt idx="68">
                  <c:v>29.75</c:v>
                </c:pt>
                <c:pt idx="69">
                  <c:v>26.5</c:v>
                </c:pt>
                <c:pt idx="70">
                  <c:v>30.75</c:v>
                </c:pt>
                <c:pt idx="71">
                  <c:v>39</c:v>
                </c:pt>
                <c:pt idx="72">
                  <c:v>22</c:v>
                </c:pt>
                <c:pt idx="73">
                  <c:v>30.75</c:v>
                </c:pt>
                <c:pt idx="74">
                  <c:v>50</c:v>
                </c:pt>
                <c:pt idx="75">
                  <c:v>34</c:v>
                </c:pt>
                <c:pt idx="76">
                  <c:v>37.75</c:v>
                </c:pt>
                <c:pt idx="77">
                  <c:v>32.75</c:v>
                </c:pt>
                <c:pt idx="78">
                  <c:v>35</c:v>
                </c:pt>
                <c:pt idx="79">
                  <c:v>42.5</c:v>
                </c:pt>
                <c:pt idx="80">
                  <c:v>38.25</c:v>
                </c:pt>
                <c:pt idx="81">
                  <c:v>36</c:v>
                </c:pt>
                <c:pt idx="82">
                  <c:v>35.5</c:v>
                </c:pt>
                <c:pt idx="83">
                  <c:v>45.5</c:v>
                </c:pt>
                <c:pt idx="84">
                  <c:v>45</c:v>
                </c:pt>
                <c:pt idx="85">
                  <c:v>49</c:v>
                </c:pt>
                <c:pt idx="86">
                  <c:v>36.75</c:v>
                </c:pt>
                <c:pt idx="87">
                  <c:v>46.25</c:v>
                </c:pt>
                <c:pt idx="88">
                  <c:v>24.25</c:v>
                </c:pt>
                <c:pt idx="89">
                  <c:v>28</c:v>
                </c:pt>
                <c:pt idx="90">
                  <c:v>21.25</c:v>
                </c:pt>
                <c:pt idx="91">
                  <c:v>31</c:v>
                </c:pt>
                <c:pt idx="92">
                  <c:v>25.25</c:v>
                </c:pt>
                <c:pt idx="93">
                  <c:v>31.25</c:v>
                </c:pt>
                <c:pt idx="94">
                  <c:v>47.25</c:v>
                </c:pt>
                <c:pt idx="95">
                  <c:v>45.75</c:v>
                </c:pt>
                <c:pt idx="96">
                  <c:v>46.75</c:v>
                </c:pt>
                <c:pt idx="97">
                  <c:v>44.25</c:v>
                </c:pt>
                <c:pt idx="98">
                  <c:v>48.5</c:v>
                </c:pt>
                <c:pt idx="99">
                  <c:v>38.25</c:v>
                </c:pt>
                <c:pt idx="100">
                  <c:v>47</c:v>
                </c:pt>
                <c:pt idx="101">
                  <c:v>39.75</c:v>
                </c:pt>
                <c:pt idx="102">
                  <c:v>36.25</c:v>
                </c:pt>
                <c:pt idx="103">
                  <c:v>40.75</c:v>
                </c:pt>
                <c:pt idx="104">
                  <c:v>6</c:v>
                </c:pt>
                <c:pt idx="105">
                  <c:v>10</c:v>
                </c:pt>
                <c:pt idx="106">
                  <c:v>7</c:v>
                </c:pt>
                <c:pt idx="107">
                  <c:v>12</c:v>
                </c:pt>
                <c:pt idx="108">
                  <c:v>14</c:v>
                </c:pt>
                <c:pt idx="109">
                  <c:v>21</c:v>
                </c:pt>
                <c:pt idx="110">
                  <c:v>18</c:v>
                </c:pt>
                <c:pt idx="111">
                  <c:v>19</c:v>
                </c:pt>
              </c:numCache>
            </c:numRef>
          </c:xVal>
          <c:yVal>
            <c:numRef>
              <c:f>Bartsch!$M$108:$M$211</c:f>
              <c:numCache>
                <c:formatCode>General</c:formatCode>
                <c:ptCount val="104"/>
                <c:pt idx="0">
                  <c:v>1.855</c:v>
                </c:pt>
                <c:pt idx="1">
                  <c:v>1.835</c:v>
                </c:pt>
                <c:pt idx="2">
                  <c:v>1.7800000000000002</c:v>
                </c:pt>
                <c:pt idx="3">
                  <c:v>1.2650000000000001</c:v>
                </c:pt>
                <c:pt idx="4">
                  <c:v>1.21</c:v>
                </c:pt>
                <c:pt idx="5">
                  <c:v>1.08</c:v>
                </c:pt>
                <c:pt idx="6">
                  <c:v>2.2650000000000001</c:v>
                </c:pt>
                <c:pt idx="7">
                  <c:v>1.1400000000000001</c:v>
                </c:pt>
                <c:pt idx="8">
                  <c:v>2.12</c:v>
                </c:pt>
                <c:pt idx="9">
                  <c:v>2.12</c:v>
                </c:pt>
                <c:pt idx="10">
                  <c:v>2.33</c:v>
                </c:pt>
                <c:pt idx="11">
                  <c:v>1.5550000000000002</c:v>
                </c:pt>
                <c:pt idx="12">
                  <c:v>2.0750000000000002</c:v>
                </c:pt>
                <c:pt idx="13">
                  <c:v>1.35</c:v>
                </c:pt>
                <c:pt idx="14">
                  <c:v>1.4750000000000001</c:v>
                </c:pt>
                <c:pt idx="15">
                  <c:v>1.415</c:v>
                </c:pt>
                <c:pt idx="16">
                  <c:v>1.94</c:v>
                </c:pt>
                <c:pt idx="17">
                  <c:v>2.0249999999999999</c:v>
                </c:pt>
                <c:pt idx="18">
                  <c:v>1.05</c:v>
                </c:pt>
                <c:pt idx="19">
                  <c:v>1.88</c:v>
                </c:pt>
                <c:pt idx="20">
                  <c:v>2.54</c:v>
                </c:pt>
                <c:pt idx="21">
                  <c:v>2.4849999999999999</c:v>
                </c:pt>
                <c:pt idx="22">
                  <c:v>2.15</c:v>
                </c:pt>
                <c:pt idx="23">
                  <c:v>1.8399999999999999</c:v>
                </c:pt>
                <c:pt idx="24">
                  <c:v>2.92</c:v>
                </c:pt>
                <c:pt idx="25">
                  <c:v>2.9550000000000001</c:v>
                </c:pt>
                <c:pt idx="26">
                  <c:v>3.17</c:v>
                </c:pt>
                <c:pt idx="27">
                  <c:v>3.3200000000000003</c:v>
                </c:pt>
                <c:pt idx="28">
                  <c:v>3.2850000000000001</c:v>
                </c:pt>
                <c:pt idx="29">
                  <c:v>2.5750000000000002</c:v>
                </c:pt>
                <c:pt idx="30">
                  <c:v>2.98</c:v>
                </c:pt>
                <c:pt idx="31">
                  <c:v>3.09</c:v>
                </c:pt>
                <c:pt idx="32">
                  <c:v>2.7050000000000001</c:v>
                </c:pt>
                <c:pt idx="33">
                  <c:v>4.66</c:v>
                </c:pt>
                <c:pt idx="34">
                  <c:v>3.1949999999999998</c:v>
                </c:pt>
                <c:pt idx="35">
                  <c:v>1.86</c:v>
                </c:pt>
                <c:pt idx="36">
                  <c:v>3.8250000000000002</c:v>
                </c:pt>
                <c:pt idx="37">
                  <c:v>1.7649999999999999</c:v>
                </c:pt>
                <c:pt idx="38">
                  <c:v>2.4950000000000001</c:v>
                </c:pt>
                <c:pt idx="39">
                  <c:v>2.605</c:v>
                </c:pt>
                <c:pt idx="40">
                  <c:v>2.1749999999999998</c:v>
                </c:pt>
                <c:pt idx="41">
                  <c:v>4.16</c:v>
                </c:pt>
                <c:pt idx="42">
                  <c:v>4.8</c:v>
                </c:pt>
                <c:pt idx="43">
                  <c:v>3.5900000000000003</c:v>
                </c:pt>
                <c:pt idx="44">
                  <c:v>3.4449999999999998</c:v>
                </c:pt>
                <c:pt idx="45">
                  <c:v>2.9400000000000004</c:v>
                </c:pt>
                <c:pt idx="46">
                  <c:v>4.4700000000000006</c:v>
                </c:pt>
                <c:pt idx="47">
                  <c:v>4.0249999999999995</c:v>
                </c:pt>
                <c:pt idx="48">
                  <c:v>4.3100000000000005</c:v>
                </c:pt>
                <c:pt idx="49">
                  <c:v>4.5600000000000005</c:v>
                </c:pt>
                <c:pt idx="50">
                  <c:v>4.8550000000000004</c:v>
                </c:pt>
                <c:pt idx="51">
                  <c:v>3.6049999999999995</c:v>
                </c:pt>
                <c:pt idx="52">
                  <c:v>4.8849999999999998</c:v>
                </c:pt>
                <c:pt idx="53">
                  <c:v>4.2850000000000001</c:v>
                </c:pt>
                <c:pt idx="54">
                  <c:v>3.2949999999999999</c:v>
                </c:pt>
                <c:pt idx="55">
                  <c:v>5.3100000000000005</c:v>
                </c:pt>
                <c:pt idx="56">
                  <c:v>3.8849999999999998</c:v>
                </c:pt>
                <c:pt idx="57">
                  <c:v>3.9099999999999997</c:v>
                </c:pt>
                <c:pt idx="58">
                  <c:v>4.7149999999999999</c:v>
                </c:pt>
                <c:pt idx="59">
                  <c:v>4.2750000000000004</c:v>
                </c:pt>
                <c:pt idx="60">
                  <c:v>5.98</c:v>
                </c:pt>
                <c:pt idx="61">
                  <c:v>5.67</c:v>
                </c:pt>
                <c:pt idx="62">
                  <c:v>5.91</c:v>
                </c:pt>
                <c:pt idx="63">
                  <c:v>6.5350000000000001</c:v>
                </c:pt>
                <c:pt idx="64">
                  <c:v>6.9300000000000006</c:v>
                </c:pt>
                <c:pt idx="65">
                  <c:v>6.1449999999999996</c:v>
                </c:pt>
                <c:pt idx="66">
                  <c:v>5.2949999999999999</c:v>
                </c:pt>
                <c:pt idx="67">
                  <c:v>5.0299999999999994</c:v>
                </c:pt>
                <c:pt idx="68">
                  <c:v>4.83</c:v>
                </c:pt>
                <c:pt idx="69">
                  <c:v>4.0649999999999995</c:v>
                </c:pt>
                <c:pt idx="70">
                  <c:v>4.8550000000000004</c:v>
                </c:pt>
                <c:pt idx="71">
                  <c:v>6.22</c:v>
                </c:pt>
                <c:pt idx="72">
                  <c:v>2.5150000000000001</c:v>
                </c:pt>
                <c:pt idx="73">
                  <c:v>3.82</c:v>
                </c:pt>
                <c:pt idx="74">
                  <c:v>8.83</c:v>
                </c:pt>
                <c:pt idx="75">
                  <c:v>4.665</c:v>
                </c:pt>
                <c:pt idx="76">
                  <c:v>3.9299999999999997</c:v>
                </c:pt>
                <c:pt idx="77">
                  <c:v>3.835</c:v>
                </c:pt>
                <c:pt idx="78">
                  <c:v>5.4350000000000005</c:v>
                </c:pt>
                <c:pt idx="79">
                  <c:v>5.7249999999999996</c:v>
                </c:pt>
                <c:pt idx="80">
                  <c:v>6.919999999999999</c:v>
                </c:pt>
                <c:pt idx="81">
                  <c:v>4.5199999999999996</c:v>
                </c:pt>
                <c:pt idx="82">
                  <c:v>6.17</c:v>
                </c:pt>
                <c:pt idx="83">
                  <c:v>7.3449999999999998</c:v>
                </c:pt>
                <c:pt idx="84">
                  <c:v>6.3449999999999998</c:v>
                </c:pt>
                <c:pt idx="85">
                  <c:v>6.1850000000000005</c:v>
                </c:pt>
                <c:pt idx="86">
                  <c:v>5.41</c:v>
                </c:pt>
                <c:pt idx="87">
                  <c:v>5.585</c:v>
                </c:pt>
                <c:pt idx="88">
                  <c:v>3.4249999999999998</c:v>
                </c:pt>
                <c:pt idx="89">
                  <c:v>5.1749999999999998</c:v>
                </c:pt>
                <c:pt idx="90">
                  <c:v>3.9950000000000001</c:v>
                </c:pt>
                <c:pt idx="91">
                  <c:v>6.15</c:v>
                </c:pt>
                <c:pt idx="92">
                  <c:v>4.09</c:v>
                </c:pt>
                <c:pt idx="93">
                  <c:v>4.2350000000000003</c:v>
                </c:pt>
                <c:pt idx="94">
                  <c:v>9.2449999999999992</c:v>
                </c:pt>
                <c:pt idx="95">
                  <c:v>7.32</c:v>
                </c:pt>
                <c:pt idx="96">
                  <c:v>5.47</c:v>
                </c:pt>
                <c:pt idx="97">
                  <c:v>6.085</c:v>
                </c:pt>
                <c:pt idx="98">
                  <c:v>6.53</c:v>
                </c:pt>
                <c:pt idx="99">
                  <c:v>7.5</c:v>
                </c:pt>
                <c:pt idx="100">
                  <c:v>7.59</c:v>
                </c:pt>
                <c:pt idx="101">
                  <c:v>6.74</c:v>
                </c:pt>
                <c:pt idx="102">
                  <c:v>7.9550000000000001</c:v>
                </c:pt>
                <c:pt idx="103">
                  <c:v>6.0550000000000006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533632"/>
        <c:axId val="260534208"/>
      </c:scatterChart>
      <c:valAx>
        <c:axId val="26053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Brusthöhendurchmesser in cm</a:t>
                </a:r>
              </a:p>
            </c:rich>
          </c:tx>
          <c:layout>
            <c:manualLayout>
              <c:xMode val="edge"/>
              <c:yMode val="edge"/>
              <c:x val="0.37131523948334494"/>
              <c:y val="0.8603219082908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534208"/>
        <c:crosses val="autoZero"/>
        <c:crossBetween val="midCat"/>
      </c:valAx>
      <c:valAx>
        <c:axId val="260534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Kronendurchmesser in m</a:t>
                </a:r>
              </a:p>
            </c:rich>
          </c:tx>
          <c:layout>
            <c:manualLayout>
              <c:xMode val="edge"/>
              <c:yMode val="edge"/>
              <c:x val="1.9715799490014462E-2"/>
              <c:y val="0.23714007256445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5336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926670173895292"/>
          <c:y val="0.93201540064844834"/>
          <c:w val="0.51151687638168997"/>
          <c:h val="5.33105604446503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Kronenvolumen-BHD-Relation</a:t>
            </a:r>
          </a:p>
        </c:rich>
      </c:tx>
      <c:layout>
        <c:manualLayout>
          <c:xMode val="edge"/>
          <c:yMode val="edge"/>
          <c:x val="0.33077984482708894"/>
          <c:y val="2.84098862642169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417978874990912"/>
          <c:y val="0.1780358254341925"/>
          <c:w val="0.8428840528423035"/>
          <c:h val="0.64774736487759399"/>
        </c:manualLayout>
      </c:layout>
      <c:scatterChart>
        <c:scatterStyle val="lineMarker"/>
        <c:varyColors val="0"/>
        <c:ser>
          <c:idx val="0"/>
          <c:order val="0"/>
          <c:tx>
            <c:v>Birke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80"/>
                </a:solidFill>
                <a:prstDash val="solid"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Mode val="edge"/>
                  <c:yMode val="edge"/>
                  <c:x val="2.5275532223432828E-2"/>
                  <c:y val="4.5455955430006592E-2"/>
                </c:manualLayout>
              </c:layout>
              <c:tx>
                <c:rich>
                  <a:bodyPr/>
                  <a:lstStyle/>
                  <a:p>
                    <a:pPr>
                      <a:defRPr sz="15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12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Birke: y = 0.3549x</a:t>
                    </a:r>
                    <a:r>
                      <a:rPr lang="de-DE" sz="1200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r>
                      <a:rPr lang="de-DE" sz="12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+ 3.1778x - 13.436</a:t>
                    </a:r>
                  </a:p>
                  <a:p>
                    <a:pPr>
                      <a:defRPr sz="15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12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</a:t>
                    </a:r>
                    <a:r>
                      <a:rPr lang="de-DE" sz="1200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r>
                      <a:rPr lang="de-DE" sz="12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= 0.8035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Bartsch!$H$4:$H$107</c:f>
              <c:numCache>
                <c:formatCode>General</c:formatCode>
                <c:ptCount val="104"/>
                <c:pt idx="0">
                  <c:v>3</c:v>
                </c:pt>
                <c:pt idx="1">
                  <c:v>3.5</c:v>
                </c:pt>
                <c:pt idx="2">
                  <c:v>5</c:v>
                </c:pt>
                <c:pt idx="3">
                  <c:v>2.5</c:v>
                </c:pt>
                <c:pt idx="4">
                  <c:v>3</c:v>
                </c:pt>
                <c:pt idx="5">
                  <c:v>3</c:v>
                </c:pt>
                <c:pt idx="6">
                  <c:v>4.75</c:v>
                </c:pt>
                <c:pt idx="7">
                  <c:v>3.5</c:v>
                </c:pt>
                <c:pt idx="8">
                  <c:v>3.5</c:v>
                </c:pt>
                <c:pt idx="9">
                  <c:v>4.5</c:v>
                </c:pt>
                <c:pt idx="10">
                  <c:v>7.25</c:v>
                </c:pt>
                <c:pt idx="11">
                  <c:v>5</c:v>
                </c:pt>
                <c:pt idx="12">
                  <c:v>4.75</c:v>
                </c:pt>
                <c:pt idx="13">
                  <c:v>4.5</c:v>
                </c:pt>
                <c:pt idx="14">
                  <c:v>4.5</c:v>
                </c:pt>
                <c:pt idx="15">
                  <c:v>6</c:v>
                </c:pt>
                <c:pt idx="16">
                  <c:v>5.25</c:v>
                </c:pt>
                <c:pt idx="17">
                  <c:v>5.25</c:v>
                </c:pt>
                <c:pt idx="18">
                  <c:v>6.5</c:v>
                </c:pt>
                <c:pt idx="19">
                  <c:v>5.25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11.5</c:v>
                </c:pt>
                <c:pt idx="24">
                  <c:v>9.25</c:v>
                </c:pt>
                <c:pt idx="25">
                  <c:v>11</c:v>
                </c:pt>
                <c:pt idx="26">
                  <c:v>9.25</c:v>
                </c:pt>
                <c:pt idx="27">
                  <c:v>10.75</c:v>
                </c:pt>
                <c:pt idx="28">
                  <c:v>8.75</c:v>
                </c:pt>
                <c:pt idx="29">
                  <c:v>9.75</c:v>
                </c:pt>
                <c:pt idx="30">
                  <c:v>12.5</c:v>
                </c:pt>
                <c:pt idx="31">
                  <c:v>11</c:v>
                </c:pt>
                <c:pt idx="32">
                  <c:v>12.25</c:v>
                </c:pt>
                <c:pt idx="33">
                  <c:v>8.75</c:v>
                </c:pt>
                <c:pt idx="34">
                  <c:v>12.25</c:v>
                </c:pt>
                <c:pt idx="35">
                  <c:v>9</c:v>
                </c:pt>
                <c:pt idx="36">
                  <c:v>13.25</c:v>
                </c:pt>
                <c:pt idx="37">
                  <c:v>14.5</c:v>
                </c:pt>
                <c:pt idx="38">
                  <c:v>12</c:v>
                </c:pt>
                <c:pt idx="39">
                  <c:v>11.25</c:v>
                </c:pt>
                <c:pt idx="40">
                  <c:v>19.75</c:v>
                </c:pt>
                <c:pt idx="41">
                  <c:v>22.75</c:v>
                </c:pt>
                <c:pt idx="42">
                  <c:v>20.5</c:v>
                </c:pt>
                <c:pt idx="43">
                  <c:v>19</c:v>
                </c:pt>
                <c:pt idx="44">
                  <c:v>24.25</c:v>
                </c:pt>
                <c:pt idx="45">
                  <c:v>24</c:v>
                </c:pt>
                <c:pt idx="46">
                  <c:v>23</c:v>
                </c:pt>
                <c:pt idx="47">
                  <c:v>23.75</c:v>
                </c:pt>
                <c:pt idx="48">
                  <c:v>21.75</c:v>
                </c:pt>
                <c:pt idx="49">
                  <c:v>22.75</c:v>
                </c:pt>
                <c:pt idx="50">
                  <c:v>29.75</c:v>
                </c:pt>
                <c:pt idx="51">
                  <c:v>29.75</c:v>
                </c:pt>
                <c:pt idx="52">
                  <c:v>22.5</c:v>
                </c:pt>
                <c:pt idx="53">
                  <c:v>18.25</c:v>
                </c:pt>
                <c:pt idx="54">
                  <c:v>27.5</c:v>
                </c:pt>
                <c:pt idx="55">
                  <c:v>23.75</c:v>
                </c:pt>
                <c:pt idx="56">
                  <c:v>25</c:v>
                </c:pt>
                <c:pt idx="57">
                  <c:v>23.75</c:v>
                </c:pt>
                <c:pt idx="58">
                  <c:v>24.5</c:v>
                </c:pt>
                <c:pt idx="59">
                  <c:v>27.25</c:v>
                </c:pt>
                <c:pt idx="60">
                  <c:v>29.5</c:v>
                </c:pt>
                <c:pt idx="61">
                  <c:v>29.25</c:v>
                </c:pt>
                <c:pt idx="62">
                  <c:v>27</c:v>
                </c:pt>
                <c:pt idx="63">
                  <c:v>29</c:v>
                </c:pt>
                <c:pt idx="64">
                  <c:v>34.25</c:v>
                </c:pt>
                <c:pt idx="65">
                  <c:v>32.75</c:v>
                </c:pt>
                <c:pt idx="66">
                  <c:v>35.5</c:v>
                </c:pt>
                <c:pt idx="67">
                  <c:v>29</c:v>
                </c:pt>
                <c:pt idx="68">
                  <c:v>26.75</c:v>
                </c:pt>
                <c:pt idx="69">
                  <c:v>29.25</c:v>
                </c:pt>
                <c:pt idx="70">
                  <c:v>23.5</c:v>
                </c:pt>
                <c:pt idx="71">
                  <c:v>31.75</c:v>
                </c:pt>
                <c:pt idx="72">
                  <c:v>20.75</c:v>
                </c:pt>
                <c:pt idx="73">
                  <c:v>36.75</c:v>
                </c:pt>
                <c:pt idx="74">
                  <c:v>36.75</c:v>
                </c:pt>
                <c:pt idx="75">
                  <c:v>38.25</c:v>
                </c:pt>
                <c:pt idx="76">
                  <c:v>37.75</c:v>
                </c:pt>
                <c:pt idx="77">
                  <c:v>28.75</c:v>
                </c:pt>
                <c:pt idx="78">
                  <c:v>34</c:v>
                </c:pt>
                <c:pt idx="79">
                  <c:v>34</c:v>
                </c:pt>
                <c:pt idx="80">
                  <c:v>32.5</c:v>
                </c:pt>
                <c:pt idx="81">
                  <c:v>35.5</c:v>
                </c:pt>
                <c:pt idx="82">
                  <c:v>34.25</c:v>
                </c:pt>
                <c:pt idx="83">
                  <c:v>33.75</c:v>
                </c:pt>
                <c:pt idx="84">
                  <c:v>41.75</c:v>
                </c:pt>
                <c:pt idx="85">
                  <c:v>45</c:v>
                </c:pt>
                <c:pt idx="86">
                  <c:v>33.25</c:v>
                </c:pt>
                <c:pt idx="87">
                  <c:v>43.25</c:v>
                </c:pt>
                <c:pt idx="88">
                  <c:v>18.5</c:v>
                </c:pt>
                <c:pt idx="89">
                  <c:v>24.25</c:v>
                </c:pt>
                <c:pt idx="90">
                  <c:v>26.75</c:v>
                </c:pt>
                <c:pt idx="91">
                  <c:v>24.25</c:v>
                </c:pt>
                <c:pt idx="92">
                  <c:v>26.75</c:v>
                </c:pt>
                <c:pt idx="93">
                  <c:v>28.75</c:v>
                </c:pt>
                <c:pt idx="94">
                  <c:v>52.25</c:v>
                </c:pt>
                <c:pt idx="95">
                  <c:v>53.75</c:v>
                </c:pt>
                <c:pt idx="96">
                  <c:v>48.5</c:v>
                </c:pt>
                <c:pt idx="97">
                  <c:v>47.25</c:v>
                </c:pt>
                <c:pt idx="98">
                  <c:v>49</c:v>
                </c:pt>
                <c:pt idx="99">
                  <c:v>50.75</c:v>
                </c:pt>
                <c:pt idx="100">
                  <c:v>38.75</c:v>
                </c:pt>
                <c:pt idx="101">
                  <c:v>43</c:v>
                </c:pt>
                <c:pt idx="102">
                  <c:v>37.5</c:v>
                </c:pt>
                <c:pt idx="103">
                  <c:v>33.5</c:v>
                </c:pt>
              </c:numCache>
            </c:numRef>
          </c:xVal>
          <c:yVal>
            <c:numRef>
              <c:f>Bartsch!$O$4:$O$107</c:f>
              <c:numCache>
                <c:formatCode>General</c:formatCode>
                <c:ptCount val="104"/>
                <c:pt idx="0">
                  <c:v>10.471454941000003</c:v>
                </c:pt>
                <c:pt idx="1">
                  <c:v>8.1240378738749985</c:v>
                </c:pt>
                <c:pt idx="2">
                  <c:v>11.909593900000003</c:v>
                </c:pt>
                <c:pt idx="3">
                  <c:v>5.577260121250001</c:v>
                </c:pt>
                <c:pt idx="4">
                  <c:v>3.8199000498749993</c:v>
                </c:pt>
                <c:pt idx="5">
                  <c:v>5.6807037944999994</c:v>
                </c:pt>
                <c:pt idx="6">
                  <c:v>10.619930150999998</c:v>
                </c:pt>
                <c:pt idx="7">
                  <c:v>3.2583203747500002</c:v>
                </c:pt>
                <c:pt idx="8">
                  <c:v>3.985435534375001</c:v>
                </c:pt>
                <c:pt idx="9">
                  <c:v>12.248308569500001</c:v>
                </c:pt>
                <c:pt idx="10">
                  <c:v>18.780188608124998</c:v>
                </c:pt>
                <c:pt idx="11">
                  <c:v>15.393235342500004</c:v>
                </c:pt>
                <c:pt idx="12">
                  <c:v>9.7183316799999986</c:v>
                </c:pt>
                <c:pt idx="13">
                  <c:v>10.238018480000001</c:v>
                </c:pt>
                <c:pt idx="14">
                  <c:v>13.551595244999998</c:v>
                </c:pt>
                <c:pt idx="15">
                  <c:v>17.754436559999998</c:v>
                </c:pt>
                <c:pt idx="16">
                  <c:v>13.064500803750002</c:v>
                </c:pt>
                <c:pt idx="17">
                  <c:v>10.119007374999999</c:v>
                </c:pt>
                <c:pt idx="18">
                  <c:v>28.944103999999996</c:v>
                </c:pt>
                <c:pt idx="19">
                  <c:v>14.453199999999999</c:v>
                </c:pt>
                <c:pt idx="20">
                  <c:v>32.305227080000002</c:v>
                </c:pt>
                <c:pt idx="21">
                  <c:v>56.664976342499997</c:v>
                </c:pt>
                <c:pt idx="22">
                  <c:v>34.486591999999995</c:v>
                </c:pt>
                <c:pt idx="23">
                  <c:v>64.130050214999969</c:v>
                </c:pt>
                <c:pt idx="24">
                  <c:v>38.728983239999998</c:v>
                </c:pt>
                <c:pt idx="25">
                  <c:v>96.292051188749994</c:v>
                </c:pt>
                <c:pt idx="26">
                  <c:v>31.241267329999996</c:v>
                </c:pt>
                <c:pt idx="27">
                  <c:v>74.467803630000006</c:v>
                </c:pt>
                <c:pt idx="28">
                  <c:v>78.903474999999986</c:v>
                </c:pt>
                <c:pt idx="29">
                  <c:v>42.717249520000003</c:v>
                </c:pt>
                <c:pt idx="30">
                  <c:v>75.995553999999998</c:v>
                </c:pt>
                <c:pt idx="31">
                  <c:v>44.940917542500003</c:v>
                </c:pt>
                <c:pt idx="32">
                  <c:v>67.463423543750011</c:v>
                </c:pt>
                <c:pt idx="33">
                  <c:v>34.862650124999995</c:v>
                </c:pt>
                <c:pt idx="34">
                  <c:v>75.567825685000017</c:v>
                </c:pt>
                <c:pt idx="35">
                  <c:v>36.230339160000007</c:v>
                </c:pt>
                <c:pt idx="36">
                  <c:v>53.981619973749993</c:v>
                </c:pt>
                <c:pt idx="37">
                  <c:v>55.963880281249985</c:v>
                </c:pt>
                <c:pt idx="38">
                  <c:v>35.618350218750003</c:v>
                </c:pt>
                <c:pt idx="39">
                  <c:v>53.841999312500008</c:v>
                </c:pt>
                <c:pt idx="40">
                  <c:v>159.92597763999999</c:v>
                </c:pt>
                <c:pt idx="41">
                  <c:v>167.50917303875002</c:v>
                </c:pt>
                <c:pt idx="42">
                  <c:v>180.19229591875003</c:v>
                </c:pt>
                <c:pt idx="43">
                  <c:v>180.49728003999996</c:v>
                </c:pt>
                <c:pt idx="44">
                  <c:v>204.50464025624996</c:v>
                </c:pt>
                <c:pt idx="45">
                  <c:v>204.65205700500002</c:v>
                </c:pt>
                <c:pt idx="46">
                  <c:v>318.59015949999991</c:v>
                </c:pt>
                <c:pt idx="47">
                  <c:v>233.055737005</c:v>
                </c:pt>
                <c:pt idx="48">
                  <c:v>146.18032265624998</c:v>
                </c:pt>
                <c:pt idx="49">
                  <c:v>294.23315555999994</c:v>
                </c:pt>
                <c:pt idx="50">
                  <c:v>645.79980687499994</c:v>
                </c:pt>
                <c:pt idx="51">
                  <c:v>595.92830976000016</c:v>
                </c:pt>
                <c:pt idx="52">
                  <c:v>292.31085639499997</c:v>
                </c:pt>
                <c:pt idx="53">
                  <c:v>95.99498097999998</c:v>
                </c:pt>
                <c:pt idx="54">
                  <c:v>432.44957845999988</c:v>
                </c:pt>
                <c:pt idx="55">
                  <c:v>211.89999118499995</c:v>
                </c:pt>
                <c:pt idx="56">
                  <c:v>313.01188412000005</c:v>
                </c:pt>
                <c:pt idx="57">
                  <c:v>315.59294285999999</c:v>
                </c:pt>
                <c:pt idx="58">
                  <c:v>501.01904688000013</c:v>
                </c:pt>
                <c:pt idx="59">
                  <c:v>528.26018687999999</c:v>
                </c:pt>
                <c:pt idx="60">
                  <c:v>428.39404196000004</c:v>
                </c:pt>
                <c:pt idx="61">
                  <c:v>447.70232320000008</c:v>
                </c:pt>
                <c:pt idx="62">
                  <c:v>395.27898598125</c:v>
                </c:pt>
                <c:pt idx="63">
                  <c:v>513.04040171999998</c:v>
                </c:pt>
                <c:pt idx="64">
                  <c:v>691.5895494637499</c:v>
                </c:pt>
                <c:pt idx="65">
                  <c:v>530.05237582500001</c:v>
                </c:pt>
                <c:pt idx="66">
                  <c:v>966.89953479624967</c:v>
                </c:pt>
                <c:pt idx="67">
                  <c:v>767.90212930000018</c:v>
                </c:pt>
                <c:pt idx="68">
                  <c:v>670.04646377499978</c:v>
                </c:pt>
                <c:pt idx="69">
                  <c:v>384.54460416000001</c:v>
                </c:pt>
                <c:pt idx="70">
                  <c:v>220.77638665375</c:v>
                </c:pt>
                <c:pt idx="71">
                  <c:v>531.94715892499994</c:v>
                </c:pt>
                <c:pt idx="72">
                  <c:v>263.52205359999999</c:v>
                </c:pt>
                <c:pt idx="73">
                  <c:v>572.09552299125005</c:v>
                </c:pt>
                <c:pt idx="74">
                  <c:v>572.09552299124994</c:v>
                </c:pt>
                <c:pt idx="75">
                  <c:v>494.40958281000007</c:v>
                </c:pt>
                <c:pt idx="76">
                  <c:v>270.30475184000005</c:v>
                </c:pt>
                <c:pt idx="77">
                  <c:v>489.6315571562501</c:v>
                </c:pt>
                <c:pt idx="78">
                  <c:v>879.62474671875009</c:v>
                </c:pt>
                <c:pt idx="79">
                  <c:v>452.17476382499996</c:v>
                </c:pt>
                <c:pt idx="80">
                  <c:v>309.7292379884999</c:v>
                </c:pt>
                <c:pt idx="81">
                  <c:v>450.70534468499994</c:v>
                </c:pt>
                <c:pt idx="82">
                  <c:v>205.20089056799998</c:v>
                </c:pt>
                <c:pt idx="83">
                  <c:v>401.422273475</c:v>
                </c:pt>
                <c:pt idx="84">
                  <c:v>651.40425629325</c:v>
                </c:pt>
                <c:pt idx="85">
                  <c:v>984.85776422549998</c:v>
                </c:pt>
                <c:pt idx="86">
                  <c:v>297.23478042599999</c:v>
                </c:pt>
                <c:pt idx="87">
                  <c:v>542.25914008500024</c:v>
                </c:pt>
                <c:pt idx="88">
                  <c:v>120.69356745000003</c:v>
                </c:pt>
                <c:pt idx="89">
                  <c:v>137.95570759500001</c:v>
                </c:pt>
                <c:pt idx="90">
                  <c:v>97.927746343374977</c:v>
                </c:pt>
                <c:pt idx="91">
                  <c:v>112.928310825</c:v>
                </c:pt>
                <c:pt idx="92">
                  <c:v>92.051582852750002</c:v>
                </c:pt>
                <c:pt idx="93">
                  <c:v>209.82959797387502</c:v>
                </c:pt>
                <c:pt idx="94">
                  <c:v>855.98294956199993</c:v>
                </c:pt>
                <c:pt idx="95">
                  <c:v>1669.3554650359999</c:v>
                </c:pt>
                <c:pt idx="96">
                  <c:v>955.97190033749973</c:v>
                </c:pt>
                <c:pt idx="97">
                  <c:v>1158.4765004937501</c:v>
                </c:pt>
                <c:pt idx="98">
                  <c:v>702.18196158599983</c:v>
                </c:pt>
                <c:pt idx="99">
                  <c:v>1098.5790964093746</c:v>
                </c:pt>
                <c:pt idx="100">
                  <c:v>565.64733424650012</c:v>
                </c:pt>
                <c:pt idx="101">
                  <c:v>762.17268581962503</c:v>
                </c:pt>
                <c:pt idx="102">
                  <c:v>382.02452535599997</c:v>
                </c:pt>
                <c:pt idx="103">
                  <c:v>286.23084387187504</c:v>
                </c:pt>
              </c:numCache>
            </c:numRef>
          </c:yVal>
          <c:smooth val="0"/>
        </c:ser>
        <c:ser>
          <c:idx val="1"/>
          <c:order val="1"/>
          <c:tx>
            <c:v>Kiefer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FF"/>
                </a:solidFill>
                <a:prstDash val="solid"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Mode val="edge"/>
                  <c:yMode val="edge"/>
                  <c:x val="0.67584575293092131"/>
                  <c:y val="5.3031948001674357E-2"/>
                </c:manualLayout>
              </c:layout>
              <c:tx>
                <c:rich>
                  <a:bodyPr/>
                  <a:lstStyle/>
                  <a:p>
                    <a:pPr>
                      <a:defRPr sz="15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12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Kiefer: y = 0.1628x</a:t>
                    </a:r>
                    <a:r>
                      <a:rPr lang="de-DE" sz="1200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r>
                      <a:rPr lang="de-DE" sz="12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+ 1.4645x - 8.6098</a:t>
                    </a:r>
                  </a:p>
                  <a:p>
                    <a:pPr>
                      <a:defRPr sz="15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12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</a:t>
                    </a:r>
                    <a:r>
                      <a:rPr lang="de-DE" sz="1200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r>
                      <a:rPr lang="de-DE" sz="12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= 0.6982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Bartsch!$H$108:$H$211</c:f>
              <c:numCache>
                <c:formatCode>General</c:formatCode>
                <c:ptCount val="104"/>
                <c:pt idx="0">
                  <c:v>4.5</c:v>
                </c:pt>
                <c:pt idx="1">
                  <c:v>5</c:v>
                </c:pt>
                <c:pt idx="2">
                  <c:v>5</c:v>
                </c:pt>
                <c:pt idx="3">
                  <c:v>3.5</c:v>
                </c:pt>
                <c:pt idx="4">
                  <c:v>3.5</c:v>
                </c:pt>
                <c:pt idx="5">
                  <c:v>5</c:v>
                </c:pt>
                <c:pt idx="6">
                  <c:v>6</c:v>
                </c:pt>
                <c:pt idx="7">
                  <c:v>4.5</c:v>
                </c:pt>
                <c:pt idx="8">
                  <c:v>5</c:v>
                </c:pt>
                <c:pt idx="9">
                  <c:v>6</c:v>
                </c:pt>
                <c:pt idx="10">
                  <c:v>5.5</c:v>
                </c:pt>
                <c:pt idx="11">
                  <c:v>5.5</c:v>
                </c:pt>
                <c:pt idx="12">
                  <c:v>6.25</c:v>
                </c:pt>
                <c:pt idx="13">
                  <c:v>4</c:v>
                </c:pt>
                <c:pt idx="14">
                  <c:v>5</c:v>
                </c:pt>
                <c:pt idx="15">
                  <c:v>6.25</c:v>
                </c:pt>
                <c:pt idx="16">
                  <c:v>6.75</c:v>
                </c:pt>
                <c:pt idx="17">
                  <c:v>6.75</c:v>
                </c:pt>
                <c:pt idx="18">
                  <c:v>5</c:v>
                </c:pt>
                <c:pt idx="19">
                  <c:v>6.5</c:v>
                </c:pt>
                <c:pt idx="20">
                  <c:v>13.75</c:v>
                </c:pt>
                <c:pt idx="21">
                  <c:v>12.5</c:v>
                </c:pt>
                <c:pt idx="22">
                  <c:v>13.5</c:v>
                </c:pt>
                <c:pt idx="23">
                  <c:v>10.25</c:v>
                </c:pt>
                <c:pt idx="24">
                  <c:v>13.5</c:v>
                </c:pt>
                <c:pt idx="25">
                  <c:v>13.5</c:v>
                </c:pt>
                <c:pt idx="26">
                  <c:v>13.25</c:v>
                </c:pt>
                <c:pt idx="27">
                  <c:v>16.75</c:v>
                </c:pt>
                <c:pt idx="28">
                  <c:v>15.5</c:v>
                </c:pt>
                <c:pt idx="29">
                  <c:v>14.25</c:v>
                </c:pt>
                <c:pt idx="30">
                  <c:v>11.75</c:v>
                </c:pt>
                <c:pt idx="31">
                  <c:v>13.75</c:v>
                </c:pt>
                <c:pt idx="32">
                  <c:v>12</c:v>
                </c:pt>
                <c:pt idx="33">
                  <c:v>16.5</c:v>
                </c:pt>
                <c:pt idx="34">
                  <c:v>13</c:v>
                </c:pt>
                <c:pt idx="35">
                  <c:v>9.75</c:v>
                </c:pt>
                <c:pt idx="36">
                  <c:v>16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17</c:v>
                </c:pt>
                <c:pt idx="41">
                  <c:v>22.75</c:v>
                </c:pt>
                <c:pt idx="42">
                  <c:v>26.25</c:v>
                </c:pt>
                <c:pt idx="43">
                  <c:v>23.5</c:v>
                </c:pt>
                <c:pt idx="44">
                  <c:v>19</c:v>
                </c:pt>
                <c:pt idx="45">
                  <c:v>20</c:v>
                </c:pt>
                <c:pt idx="46">
                  <c:v>23.75</c:v>
                </c:pt>
                <c:pt idx="47">
                  <c:v>19.75</c:v>
                </c:pt>
                <c:pt idx="48">
                  <c:v>23</c:v>
                </c:pt>
                <c:pt idx="49">
                  <c:v>17.75</c:v>
                </c:pt>
                <c:pt idx="50">
                  <c:v>25.5</c:v>
                </c:pt>
                <c:pt idx="51">
                  <c:v>20.25</c:v>
                </c:pt>
                <c:pt idx="52">
                  <c:v>20.5</c:v>
                </c:pt>
                <c:pt idx="53">
                  <c:v>21.75</c:v>
                </c:pt>
                <c:pt idx="54">
                  <c:v>21.5</c:v>
                </c:pt>
                <c:pt idx="55">
                  <c:v>24.5</c:v>
                </c:pt>
                <c:pt idx="56">
                  <c:v>22.5</c:v>
                </c:pt>
                <c:pt idx="57">
                  <c:v>26.25</c:v>
                </c:pt>
                <c:pt idx="58">
                  <c:v>21.75</c:v>
                </c:pt>
                <c:pt idx="59">
                  <c:v>21.75</c:v>
                </c:pt>
                <c:pt idx="60">
                  <c:v>35.75</c:v>
                </c:pt>
                <c:pt idx="61">
                  <c:v>32.5</c:v>
                </c:pt>
                <c:pt idx="62">
                  <c:v>31.5</c:v>
                </c:pt>
                <c:pt idx="63">
                  <c:v>34.25</c:v>
                </c:pt>
                <c:pt idx="64">
                  <c:v>33</c:v>
                </c:pt>
                <c:pt idx="65">
                  <c:v>28.5</c:v>
                </c:pt>
                <c:pt idx="66">
                  <c:v>25.25</c:v>
                </c:pt>
                <c:pt idx="67">
                  <c:v>26.25</c:v>
                </c:pt>
                <c:pt idx="68">
                  <c:v>29.75</c:v>
                </c:pt>
                <c:pt idx="69">
                  <c:v>26.5</c:v>
                </c:pt>
                <c:pt idx="70">
                  <c:v>30.75</c:v>
                </c:pt>
                <c:pt idx="71">
                  <c:v>39</c:v>
                </c:pt>
                <c:pt idx="72">
                  <c:v>22</c:v>
                </c:pt>
                <c:pt idx="73">
                  <c:v>30.75</c:v>
                </c:pt>
                <c:pt idx="74">
                  <c:v>50</c:v>
                </c:pt>
                <c:pt idx="75">
                  <c:v>34</c:v>
                </c:pt>
                <c:pt idx="76">
                  <c:v>37.75</c:v>
                </c:pt>
                <c:pt idx="77">
                  <c:v>32.75</c:v>
                </c:pt>
                <c:pt idx="78">
                  <c:v>35</c:v>
                </c:pt>
                <c:pt idx="79">
                  <c:v>42.5</c:v>
                </c:pt>
                <c:pt idx="80">
                  <c:v>38.25</c:v>
                </c:pt>
                <c:pt idx="81">
                  <c:v>36</c:v>
                </c:pt>
                <c:pt idx="82">
                  <c:v>35.5</c:v>
                </c:pt>
                <c:pt idx="83">
                  <c:v>45.5</c:v>
                </c:pt>
                <c:pt idx="84">
                  <c:v>45</c:v>
                </c:pt>
                <c:pt idx="85">
                  <c:v>49</c:v>
                </c:pt>
                <c:pt idx="86">
                  <c:v>36.75</c:v>
                </c:pt>
                <c:pt idx="87">
                  <c:v>46.25</c:v>
                </c:pt>
                <c:pt idx="88">
                  <c:v>24.25</c:v>
                </c:pt>
                <c:pt idx="89">
                  <c:v>28</c:v>
                </c:pt>
                <c:pt idx="90">
                  <c:v>21.25</c:v>
                </c:pt>
                <c:pt idx="91">
                  <c:v>31</c:v>
                </c:pt>
                <c:pt idx="92">
                  <c:v>25.25</c:v>
                </c:pt>
                <c:pt idx="93">
                  <c:v>31.25</c:v>
                </c:pt>
                <c:pt idx="94">
                  <c:v>47.25</c:v>
                </c:pt>
                <c:pt idx="95">
                  <c:v>45.75</c:v>
                </c:pt>
                <c:pt idx="96">
                  <c:v>46.75</c:v>
                </c:pt>
                <c:pt idx="97">
                  <c:v>44.25</c:v>
                </c:pt>
                <c:pt idx="98">
                  <c:v>48.5</c:v>
                </c:pt>
                <c:pt idx="99">
                  <c:v>38.25</c:v>
                </c:pt>
                <c:pt idx="100">
                  <c:v>47</c:v>
                </c:pt>
                <c:pt idx="101">
                  <c:v>39.75</c:v>
                </c:pt>
                <c:pt idx="102">
                  <c:v>36.25</c:v>
                </c:pt>
                <c:pt idx="103">
                  <c:v>40.75</c:v>
                </c:pt>
              </c:numCache>
            </c:numRef>
          </c:xVal>
          <c:yVal>
            <c:numRef>
              <c:f>Bartsch!$O$108:$O$211</c:f>
              <c:numCache>
                <c:formatCode>General</c:formatCode>
                <c:ptCount val="104"/>
                <c:pt idx="0">
                  <c:v>8.4331264289999996</c:v>
                </c:pt>
                <c:pt idx="1">
                  <c:v>9.2308937788750001</c:v>
                </c:pt>
                <c:pt idx="2">
                  <c:v>7.0930178700000015</c:v>
                </c:pt>
                <c:pt idx="3">
                  <c:v>4.3491395117499998</c:v>
                </c:pt>
                <c:pt idx="4">
                  <c:v>3.2086410345000003</c:v>
                </c:pt>
                <c:pt idx="5">
                  <c:v>3.4082907840000001</c:v>
                </c:pt>
                <c:pt idx="6">
                  <c:v>13.62069607275</c:v>
                </c:pt>
                <c:pt idx="7">
                  <c:v>3.1033408320000007</c:v>
                </c:pt>
                <c:pt idx="8">
                  <c:v>11.261820328000002</c:v>
                </c:pt>
                <c:pt idx="9">
                  <c:v>10.485143064000003</c:v>
                </c:pt>
                <c:pt idx="10">
                  <c:v>8.5288019000000013</c:v>
                </c:pt>
                <c:pt idx="11">
                  <c:v>5.3182041850000008</c:v>
                </c:pt>
                <c:pt idx="12">
                  <c:v>8.7933779375000025</c:v>
                </c:pt>
                <c:pt idx="13">
                  <c:v>4.4378786250000006</c:v>
                </c:pt>
                <c:pt idx="14">
                  <c:v>5.9813370312499998</c:v>
                </c:pt>
                <c:pt idx="15">
                  <c:v>5.1900675337499997</c:v>
                </c:pt>
                <c:pt idx="16">
                  <c:v>6.7995079399999989</c:v>
                </c:pt>
                <c:pt idx="17">
                  <c:v>11.595747375</c:v>
                </c:pt>
                <c:pt idx="18">
                  <c:v>1.7320275000000001</c:v>
                </c:pt>
                <c:pt idx="19">
                  <c:v>4.4420339199999992</c:v>
                </c:pt>
                <c:pt idx="20">
                  <c:v>34.460576239999995</c:v>
                </c:pt>
                <c:pt idx="21">
                  <c:v>23.283068339999996</c:v>
                </c:pt>
                <c:pt idx="22">
                  <c:v>19.607258249999997</c:v>
                </c:pt>
                <c:pt idx="23">
                  <c:v>9.0419219199999983</c:v>
                </c:pt>
                <c:pt idx="24">
                  <c:v>22.101707759999993</c:v>
                </c:pt>
                <c:pt idx="25">
                  <c:v>46.641238334999997</c:v>
                </c:pt>
                <c:pt idx="26">
                  <c:v>44.992442414999999</c:v>
                </c:pt>
                <c:pt idx="27">
                  <c:v>48.48533312</c:v>
                </c:pt>
                <c:pt idx="28">
                  <c:v>45.773139082500002</c:v>
                </c:pt>
                <c:pt idx="29">
                  <c:v>26.56261528125</c:v>
                </c:pt>
                <c:pt idx="30">
                  <c:v>43.248436040000001</c:v>
                </c:pt>
                <c:pt idx="31">
                  <c:v>27.750120434999999</c:v>
                </c:pt>
                <c:pt idx="32">
                  <c:v>32.760881883750002</c:v>
                </c:pt>
                <c:pt idx="33">
                  <c:v>105.75714356000002</c:v>
                </c:pt>
                <c:pt idx="34">
                  <c:v>44.101220006249996</c:v>
                </c:pt>
                <c:pt idx="35">
                  <c:v>8.9678021399999999</c:v>
                </c:pt>
                <c:pt idx="36">
                  <c:v>68.954135625000006</c:v>
                </c:pt>
                <c:pt idx="37">
                  <c:v>10.032737873749998</c:v>
                </c:pt>
                <c:pt idx="38">
                  <c:v>21.514931405000002</c:v>
                </c:pt>
                <c:pt idx="39">
                  <c:v>31.449493561250002</c:v>
                </c:pt>
                <c:pt idx="40">
                  <c:v>15.978395531249996</c:v>
                </c:pt>
                <c:pt idx="41">
                  <c:v>127.77935872</c:v>
                </c:pt>
                <c:pt idx="42">
                  <c:v>114.01689599999999</c:v>
                </c:pt>
                <c:pt idx="43">
                  <c:v>57.704534535000008</c:v>
                </c:pt>
                <c:pt idx="44">
                  <c:v>45.67943482375</c:v>
                </c:pt>
                <c:pt idx="45">
                  <c:v>21.726552960000006</c:v>
                </c:pt>
                <c:pt idx="46">
                  <c:v>133.40747407500004</c:v>
                </c:pt>
                <c:pt idx="47">
                  <c:v>106.89496387499997</c:v>
                </c:pt>
                <c:pt idx="48">
                  <c:v>93.38576992000003</c:v>
                </c:pt>
                <c:pt idx="49">
                  <c:v>112.70027232000002</c:v>
                </c:pt>
                <c:pt idx="50">
                  <c:v>133.30828899000005</c:v>
                </c:pt>
                <c:pt idx="51">
                  <c:v>45.937699368749982</c:v>
                </c:pt>
                <c:pt idx="52">
                  <c:v>166.82661281374996</c:v>
                </c:pt>
                <c:pt idx="53">
                  <c:v>112.49738945249999</c:v>
                </c:pt>
                <c:pt idx="54">
                  <c:v>73.3424609825</c:v>
                </c:pt>
                <c:pt idx="55">
                  <c:v>197.11752529500004</c:v>
                </c:pt>
                <c:pt idx="56">
                  <c:v>93.660253076250001</c:v>
                </c:pt>
                <c:pt idx="57">
                  <c:v>103.27570192999998</c:v>
                </c:pt>
                <c:pt idx="58">
                  <c:v>108.26828887249999</c:v>
                </c:pt>
                <c:pt idx="59">
                  <c:v>133.50618196875001</c:v>
                </c:pt>
                <c:pt idx="60">
                  <c:v>224.71835360000003</c:v>
                </c:pt>
                <c:pt idx="61">
                  <c:v>239.903129025</c:v>
                </c:pt>
                <c:pt idx="62">
                  <c:v>279.84743000999998</c:v>
                </c:pt>
                <c:pt idx="63">
                  <c:v>533.37726182624999</c:v>
                </c:pt>
                <c:pt idx="64">
                  <c:v>501.72333403500011</c:v>
                </c:pt>
                <c:pt idx="65">
                  <c:v>278.81608029249998</c:v>
                </c:pt>
                <c:pt idx="66">
                  <c:v>264.27699765</c:v>
                </c:pt>
                <c:pt idx="67">
                  <c:v>192.77641241499995</c:v>
                </c:pt>
                <c:pt idx="68">
                  <c:v>98.954195130000016</c:v>
                </c:pt>
                <c:pt idx="69">
                  <c:v>110.32811926874999</c:v>
                </c:pt>
                <c:pt idx="70">
                  <c:v>170.33836926500004</c:v>
                </c:pt>
                <c:pt idx="71">
                  <c:v>306.9363558199999</c:v>
                </c:pt>
                <c:pt idx="72">
                  <c:v>42.231946018750001</c:v>
                </c:pt>
                <c:pt idx="73">
                  <c:v>90.552408579999991</c:v>
                </c:pt>
                <c:pt idx="74">
                  <c:v>814.55279363500006</c:v>
                </c:pt>
                <c:pt idx="75">
                  <c:v>189.74592788624997</c:v>
                </c:pt>
                <c:pt idx="76">
                  <c:v>60.659844749999991</c:v>
                </c:pt>
                <c:pt idx="77">
                  <c:v>97.041211994999998</c:v>
                </c:pt>
                <c:pt idx="78">
                  <c:v>248.27275524125</c:v>
                </c:pt>
                <c:pt idx="79">
                  <c:v>311.51756659374996</c:v>
                </c:pt>
                <c:pt idx="80">
                  <c:v>449.87261571199991</c:v>
                </c:pt>
                <c:pt idx="81">
                  <c:v>105.43588034399998</c:v>
                </c:pt>
                <c:pt idx="82">
                  <c:v>373.78901187499997</c:v>
                </c:pt>
                <c:pt idx="83">
                  <c:v>354.27137838949994</c:v>
                </c:pt>
                <c:pt idx="84">
                  <c:v>293.14951255462495</c:v>
                </c:pt>
                <c:pt idx="85">
                  <c:v>352.77166447825005</c:v>
                </c:pt>
                <c:pt idx="86">
                  <c:v>247.14349491249999</c:v>
                </c:pt>
                <c:pt idx="87">
                  <c:v>199.68716581062503</c:v>
                </c:pt>
                <c:pt idx="88">
                  <c:v>64.68512968124999</c:v>
                </c:pt>
                <c:pt idx="89">
                  <c:v>143.04603037499996</c:v>
                </c:pt>
                <c:pt idx="90">
                  <c:v>69.578127988125004</c:v>
                </c:pt>
                <c:pt idx="91">
                  <c:v>161.91717693750002</c:v>
                </c:pt>
                <c:pt idx="92">
                  <c:v>136.65519451999998</c:v>
                </c:pt>
                <c:pt idx="93">
                  <c:v>131.864796063</c:v>
                </c:pt>
                <c:pt idx="94">
                  <c:v>605.57307583024988</c:v>
                </c:pt>
                <c:pt idx="95">
                  <c:v>474.76364025600003</c:v>
                </c:pt>
                <c:pt idx="96">
                  <c:v>195.54385302399999</c:v>
                </c:pt>
                <c:pt idx="97">
                  <c:v>183.816474701</c:v>
                </c:pt>
                <c:pt idx="98">
                  <c:v>356.38070274799998</c:v>
                </c:pt>
                <c:pt idx="99">
                  <c:v>364.96293749999995</c:v>
                </c:pt>
                <c:pt idx="100">
                  <c:v>595.95781078349989</c:v>
                </c:pt>
                <c:pt idx="101">
                  <c:v>287.25120739000005</c:v>
                </c:pt>
                <c:pt idx="102">
                  <c:v>328.57008251387504</c:v>
                </c:pt>
                <c:pt idx="103">
                  <c:v>234.99825808200001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537664"/>
        <c:axId val="281337856"/>
      </c:scatterChart>
      <c:valAx>
        <c:axId val="26053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Brusthöhendurchmesser in cm</a:t>
                </a:r>
              </a:p>
            </c:rich>
          </c:tx>
          <c:layout>
            <c:manualLayout>
              <c:xMode val="edge"/>
              <c:yMode val="edge"/>
              <c:x val="0.38352871275705919"/>
              <c:y val="0.856087250457329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337856"/>
        <c:crosses val="autoZero"/>
        <c:crossBetween val="midCat"/>
      </c:valAx>
      <c:valAx>
        <c:axId val="281337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Zylindr. Kronenvolumen in m3</a:t>
                </a:r>
              </a:p>
            </c:rich>
          </c:tx>
          <c:layout>
            <c:manualLayout>
              <c:xMode val="edge"/>
              <c:yMode val="edge"/>
              <c:x val="1.9780796631190332E-2"/>
              <c:y val="0.242431798297940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5376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21978725736206051"/>
          <c:y val="0.92995307404756222"/>
          <c:w val="0.87365429321334831"/>
          <c:h val="0.986773045414777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Altbaumkronen Kiefer</a:t>
            </a:r>
          </a:p>
        </c:rich>
      </c:tx>
      <c:layout>
        <c:manualLayout>
          <c:xMode val="edge"/>
          <c:yMode val="edge"/>
          <c:x val="0.34313005369741628"/>
          <c:y val="3.4268893958348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1047240157333"/>
          <c:y val="0.20561407075969848"/>
          <c:w val="0.83672354774506652"/>
          <c:h val="0.48599689452292366"/>
        </c:manualLayout>
      </c:layout>
      <c:scatterChart>
        <c:scatterStyle val="lineMarker"/>
        <c:varyColors val="0"/>
        <c:ser>
          <c:idx val="0"/>
          <c:order val="0"/>
          <c:tx>
            <c:v>Dengler 1937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DenglerKI!$E$9:$E$27</c:f>
              <c:numCache>
                <c:formatCode>General</c:formatCode>
                <c:ptCount val="19"/>
                <c:pt idx="0">
                  <c:v>52</c:v>
                </c:pt>
                <c:pt idx="1">
                  <c:v>84</c:v>
                </c:pt>
                <c:pt idx="2">
                  <c:v>44</c:v>
                </c:pt>
                <c:pt idx="3">
                  <c:v>72</c:v>
                </c:pt>
                <c:pt idx="4">
                  <c:v>61</c:v>
                </c:pt>
                <c:pt idx="5">
                  <c:v>57</c:v>
                </c:pt>
                <c:pt idx="6">
                  <c:v>59</c:v>
                </c:pt>
                <c:pt idx="7">
                  <c:v>38.5</c:v>
                </c:pt>
                <c:pt idx="8">
                  <c:v>58.5</c:v>
                </c:pt>
                <c:pt idx="9">
                  <c:v>45</c:v>
                </c:pt>
                <c:pt idx="10">
                  <c:v>38</c:v>
                </c:pt>
                <c:pt idx="11">
                  <c:v>40</c:v>
                </c:pt>
                <c:pt idx="12">
                  <c:v>42.5</c:v>
                </c:pt>
                <c:pt idx="13">
                  <c:v>47.5</c:v>
                </c:pt>
                <c:pt idx="14">
                  <c:v>63</c:v>
                </c:pt>
                <c:pt idx="15">
                  <c:v>49</c:v>
                </c:pt>
                <c:pt idx="16">
                  <c:v>52.5</c:v>
                </c:pt>
                <c:pt idx="17">
                  <c:v>56</c:v>
                </c:pt>
                <c:pt idx="18">
                  <c:v>79.5</c:v>
                </c:pt>
              </c:numCache>
            </c:numRef>
          </c:xVal>
          <c:yVal>
            <c:numRef>
              <c:f>DenglerKI!$J$9:$J$27</c:f>
              <c:numCache>
                <c:formatCode>0.00</c:formatCode>
                <c:ptCount val="19"/>
                <c:pt idx="0">
                  <c:v>8</c:v>
                </c:pt>
                <c:pt idx="1">
                  <c:v>9</c:v>
                </c:pt>
                <c:pt idx="2">
                  <c:v>8</c:v>
                </c:pt>
                <c:pt idx="3">
                  <c:v>11</c:v>
                </c:pt>
                <c:pt idx="4">
                  <c:v>9.3000000000000007</c:v>
                </c:pt>
                <c:pt idx="5">
                  <c:v>9.5500000000000007</c:v>
                </c:pt>
                <c:pt idx="6">
                  <c:v>8</c:v>
                </c:pt>
                <c:pt idx="7">
                  <c:v>7.1999999999999993</c:v>
                </c:pt>
                <c:pt idx="8">
                  <c:v>11.95</c:v>
                </c:pt>
                <c:pt idx="9">
                  <c:v>6.95</c:v>
                </c:pt>
                <c:pt idx="10">
                  <c:v>6.9499999999999993</c:v>
                </c:pt>
                <c:pt idx="11">
                  <c:v>5.45</c:v>
                </c:pt>
                <c:pt idx="12">
                  <c:v>7.95</c:v>
                </c:pt>
                <c:pt idx="13">
                  <c:v>6.6999999999999993</c:v>
                </c:pt>
                <c:pt idx="14">
                  <c:v>9.8500000000000014</c:v>
                </c:pt>
                <c:pt idx="15">
                  <c:v>8.9</c:v>
                </c:pt>
                <c:pt idx="16">
                  <c:v>9.9</c:v>
                </c:pt>
                <c:pt idx="17">
                  <c:v>7.4</c:v>
                </c:pt>
                <c:pt idx="18">
                  <c:v>10.85</c:v>
                </c:pt>
              </c:numCache>
            </c:numRef>
          </c:yVal>
          <c:smooth val="0"/>
        </c:ser>
        <c:ser>
          <c:idx val="1"/>
          <c:order val="1"/>
          <c:tx>
            <c:v>Dengler 1937-2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DenglerKI!$F$64:$F$67</c:f>
              <c:numCache>
                <c:formatCode>General</c:formatCode>
                <c:ptCount val="4"/>
                <c:pt idx="0">
                  <c:v>76.3</c:v>
                </c:pt>
                <c:pt idx="1">
                  <c:v>56.5</c:v>
                </c:pt>
                <c:pt idx="2">
                  <c:v>47.5</c:v>
                </c:pt>
                <c:pt idx="3">
                  <c:v>39.1</c:v>
                </c:pt>
              </c:numCache>
            </c:numRef>
          </c:xVal>
          <c:yVal>
            <c:numRef>
              <c:f>DenglerKI!$I$64:$I$67</c:f>
              <c:numCache>
                <c:formatCode>0.00</c:formatCode>
                <c:ptCount val="4"/>
                <c:pt idx="0">
                  <c:v>9.5078958783676697</c:v>
                </c:pt>
                <c:pt idx="1">
                  <c:v>7.1364994785833371</c:v>
                </c:pt>
                <c:pt idx="2">
                  <c:v>6.3830791822016586</c:v>
                </c:pt>
                <c:pt idx="3">
                  <c:v>3.5682497392916686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338432"/>
        <c:axId val="281339008"/>
      </c:scatterChart>
      <c:valAx>
        <c:axId val="28133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BHD in cm</a:t>
                </a:r>
              </a:p>
            </c:rich>
          </c:tx>
          <c:layout>
            <c:manualLayout>
              <c:xMode val="edge"/>
              <c:yMode val="edge"/>
              <c:x val="0.47524438344289532"/>
              <c:y val="0.788187177537387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339008"/>
        <c:crosses val="autoZero"/>
        <c:crossBetween val="midCat"/>
      </c:valAx>
      <c:valAx>
        <c:axId val="281339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Kronendurchmesser in m</a:t>
                </a:r>
              </a:p>
            </c:rich>
          </c:tx>
          <c:layout>
            <c:manualLayout>
              <c:xMode val="edge"/>
              <c:yMode val="edge"/>
              <c:x val="3.1193623732813217E-2"/>
              <c:y val="0.196267896419489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3384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29175236581665825"/>
          <c:y val="0.90345589978822749"/>
          <c:w val="0.78351089600038537"/>
          <c:h val="0.981340136221290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75967413441955E-2"/>
          <c:y val="9.4545454545454544E-2"/>
          <c:w val="0.85539714867617112"/>
          <c:h val="0.741818181818181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23217922606924643"/>
                  <c:y val="0.1418181818181818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Mode val="edge"/>
                  <c:yMode val="edge"/>
                  <c:x val="0.36863543788187375"/>
                  <c:y val="0.6290909090909091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Erteld!$F$4:$F$13</c:f>
              <c:numCache>
                <c:formatCode>General</c:formatCode>
                <c:ptCount val="10"/>
                <c:pt idx="0">
                  <c:v>10.4</c:v>
                </c:pt>
                <c:pt idx="1">
                  <c:v>12.1</c:v>
                </c:pt>
                <c:pt idx="2">
                  <c:v>14.5</c:v>
                </c:pt>
                <c:pt idx="3">
                  <c:v>18.7</c:v>
                </c:pt>
                <c:pt idx="4">
                  <c:v>22.6</c:v>
                </c:pt>
                <c:pt idx="5">
                  <c:v>26.1</c:v>
                </c:pt>
                <c:pt idx="6">
                  <c:v>18.8</c:v>
                </c:pt>
                <c:pt idx="7">
                  <c:v>26.1</c:v>
                </c:pt>
                <c:pt idx="8">
                  <c:v>30.5</c:v>
                </c:pt>
                <c:pt idx="9">
                  <c:v>32.1</c:v>
                </c:pt>
              </c:numCache>
            </c:numRef>
          </c:xVal>
          <c:yVal>
            <c:numRef>
              <c:f>Erteld!$G$4:$G$13</c:f>
              <c:numCache>
                <c:formatCode>General</c:formatCode>
                <c:ptCount val="10"/>
                <c:pt idx="0">
                  <c:v>251</c:v>
                </c:pt>
                <c:pt idx="1">
                  <c:v>269</c:v>
                </c:pt>
                <c:pt idx="2">
                  <c:v>328</c:v>
                </c:pt>
                <c:pt idx="3">
                  <c:v>328</c:v>
                </c:pt>
                <c:pt idx="4">
                  <c:v>451</c:v>
                </c:pt>
                <c:pt idx="5">
                  <c:v>402</c:v>
                </c:pt>
                <c:pt idx="6">
                  <c:v>355</c:v>
                </c:pt>
                <c:pt idx="7">
                  <c:v>405</c:v>
                </c:pt>
                <c:pt idx="8">
                  <c:v>411</c:v>
                </c:pt>
                <c:pt idx="9">
                  <c:v>481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Erteld!$T$4:$T$40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</c:numCache>
            </c:numRef>
          </c:xVal>
          <c:yVal>
            <c:numRef>
              <c:f>Erteld!$U$4:$U$40</c:f>
              <c:numCache>
                <c:formatCode>General</c:formatCode>
                <c:ptCount val="37"/>
                <c:pt idx="0">
                  <c:v>76</c:v>
                </c:pt>
                <c:pt idx="1">
                  <c:v>108.90508542835558</c:v>
                </c:pt>
                <c:pt idx="2">
                  <c:v>134.4124581155171</c:v>
                </c:pt>
                <c:pt idx="3">
                  <c:v>156.05681094943984</c:v>
                </c:pt>
                <c:pt idx="4">
                  <c:v>175.21812333400922</c:v>
                </c:pt>
                <c:pt idx="5">
                  <c:v>192.60789781191653</c:v>
                </c:pt>
                <c:pt idx="6">
                  <c:v>208.65052175261107</c:v>
                </c:pt>
                <c:pt idx="7">
                  <c:v>223.62342537007214</c:v>
                </c:pt>
                <c:pt idx="8">
                  <c:v>237.71985390336363</c:v>
                </c:pt>
                <c:pt idx="9">
                  <c:v>251.08085118797925</c:v>
                </c:pt>
                <c:pt idx="10">
                  <c:v>263.81312347566865</c:v>
                </c:pt>
                <c:pt idx="11">
                  <c:v>275.99973112345731</c:v>
                </c:pt>
                <c:pt idx="12">
                  <c:v>287.70684338590706</c:v>
                </c:pt>
                <c:pt idx="13">
                  <c:v>298.98819600182998</c:v>
                </c:pt>
                <c:pt idx="14">
                  <c:v>309.88814031200036</c:v>
                </c:pt>
                <c:pt idx="15">
                  <c:v>320.44379268038432</c:v>
                </c:pt>
                <c:pt idx="16">
                  <c:v>330.6865890190827</c:v>
                </c:pt>
                <c:pt idx="17">
                  <c:v>340.64343417581608</c:v>
                </c:pt>
                <c:pt idx="18">
                  <c:v>350.33756828105675</c:v>
                </c:pt>
                <c:pt idx="19">
                  <c:v>359.78923089540945</c:v>
                </c:pt>
                <c:pt idx="20">
                  <c:v>369.0161778401793</c:v>
                </c:pt>
                <c:pt idx="21">
                  <c:v>378.03408880577655</c:v>
                </c:pt>
                <c:pt idx="22">
                  <c:v>386.85689270638437</c:v>
                </c:pt>
                <c:pt idx="23">
                  <c:v>395.49703021320119</c:v>
                </c:pt>
                <c:pt idx="24">
                  <c:v>403.96566769331673</c:v>
                </c:pt>
                <c:pt idx="25">
                  <c:v>412.27287312190441</c:v>
                </c:pt>
                <c:pt idx="26">
                  <c:v>420.42776192121988</c:v>
                </c:pt>
                <c:pt idx="27">
                  <c:v>428.43861878485814</c:v>
                </c:pt>
                <c:pt idx="28">
                  <c:v>436.31300015346056</c:v>
                </c:pt>
                <c:pt idx="29">
                  <c:v>444.05782097253478</c:v>
                </c:pt>
                <c:pt idx="30">
                  <c:v>451.67942858403279</c:v>
                </c:pt>
                <c:pt idx="31">
                  <c:v>459.18366601109898</c:v>
                </c:pt>
                <c:pt idx="32">
                  <c:v>466.57592644075066</c:v>
                </c:pt>
                <c:pt idx="33">
                  <c:v>473.86120035703573</c:v>
                </c:pt>
                <c:pt idx="34">
                  <c:v>481.04411650203144</c:v>
                </c:pt>
                <c:pt idx="35">
                  <c:v>488.12897762533782</c:v>
                </c:pt>
                <c:pt idx="36">
                  <c:v>495.11979181078681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340736"/>
        <c:axId val="281341312"/>
      </c:scatterChart>
      <c:valAx>
        <c:axId val="28134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341312"/>
        <c:crosses val="autoZero"/>
        <c:crossBetween val="midCat"/>
      </c:valAx>
      <c:valAx>
        <c:axId val="281341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3407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Pinus sylvestris, data from Burger (1948)</a:t>
            </a:r>
          </a:p>
        </c:rich>
      </c:tx>
      <c:layout>
        <c:manualLayout>
          <c:xMode val="edge"/>
          <c:yMode val="edge"/>
          <c:x val="0.29895833333333333"/>
          <c:y val="7.25126475548060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E-2"/>
          <c:y val="4.3844856661045532E-2"/>
          <c:w val="0.68437499999999996"/>
          <c:h val="0.846543001686340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'Tab. 10cop'!$F$138</c:f>
              <c:strCache>
                <c:ptCount val="1"/>
                <c:pt idx="0">
                  <c:v>m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80"/>
                </a:solidFill>
                <a:prstDash val="solid"/>
              </a:ln>
            </c:spPr>
            <c:trendlineType val="poly"/>
            <c:order val="3"/>
            <c:dispRSqr val="0"/>
            <c:dispEq val="0"/>
          </c:trendline>
          <c:xVal>
            <c:numRef>
              <c:f>'Tab. 10cop'!$D$138:$D$215</c:f>
              <c:numCache>
                <c:formatCode>General</c:formatCode>
                <c:ptCount val="78"/>
                <c:pt idx="0">
                  <c:v>6</c:v>
                </c:pt>
                <c:pt idx="1">
                  <c:v>6.4</c:v>
                </c:pt>
                <c:pt idx="2">
                  <c:v>7.8</c:v>
                </c:pt>
                <c:pt idx="3">
                  <c:v>9.1</c:v>
                </c:pt>
                <c:pt idx="4">
                  <c:v>8.6999999999999993</c:v>
                </c:pt>
                <c:pt idx="5">
                  <c:v>9.1</c:v>
                </c:pt>
                <c:pt idx="6">
                  <c:v>8.8000000000000007</c:v>
                </c:pt>
                <c:pt idx="7">
                  <c:v>9.4</c:v>
                </c:pt>
                <c:pt idx="8">
                  <c:v>5.2</c:v>
                </c:pt>
                <c:pt idx="9">
                  <c:v>9.4</c:v>
                </c:pt>
                <c:pt idx="10">
                  <c:v>8.6</c:v>
                </c:pt>
                <c:pt idx="11">
                  <c:v>10</c:v>
                </c:pt>
                <c:pt idx="12">
                  <c:v>12.4</c:v>
                </c:pt>
                <c:pt idx="13">
                  <c:v>10</c:v>
                </c:pt>
                <c:pt idx="14">
                  <c:v>17</c:v>
                </c:pt>
                <c:pt idx="15">
                  <c:v>27</c:v>
                </c:pt>
                <c:pt idx="16">
                  <c:v>31</c:v>
                </c:pt>
                <c:pt idx="17">
                  <c:v>9</c:v>
                </c:pt>
                <c:pt idx="18">
                  <c:v>7.4</c:v>
                </c:pt>
                <c:pt idx="19">
                  <c:v>6.8</c:v>
                </c:pt>
                <c:pt idx="20">
                  <c:v>8.1999999999999993</c:v>
                </c:pt>
                <c:pt idx="21">
                  <c:v>7.2</c:v>
                </c:pt>
                <c:pt idx="22">
                  <c:v>6.8</c:v>
                </c:pt>
                <c:pt idx="23">
                  <c:v>9.6</c:v>
                </c:pt>
                <c:pt idx="24">
                  <c:v>13.3</c:v>
                </c:pt>
                <c:pt idx="25">
                  <c:v>11</c:v>
                </c:pt>
                <c:pt idx="26">
                  <c:v>11.3</c:v>
                </c:pt>
                <c:pt idx="27">
                  <c:v>9</c:v>
                </c:pt>
                <c:pt idx="28">
                  <c:v>10.1</c:v>
                </c:pt>
                <c:pt idx="29">
                  <c:v>10.8</c:v>
                </c:pt>
                <c:pt idx="30">
                  <c:v>9.8000000000000007</c:v>
                </c:pt>
                <c:pt idx="31">
                  <c:v>12.6</c:v>
                </c:pt>
                <c:pt idx="32">
                  <c:v>11</c:v>
                </c:pt>
                <c:pt idx="33">
                  <c:v>14</c:v>
                </c:pt>
                <c:pt idx="34">
                  <c:v>15</c:v>
                </c:pt>
                <c:pt idx="35">
                  <c:v>14</c:v>
                </c:pt>
                <c:pt idx="36">
                  <c:v>10</c:v>
                </c:pt>
                <c:pt idx="37">
                  <c:v>10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18</c:v>
                </c:pt>
                <c:pt idx="42">
                  <c:v>23</c:v>
                </c:pt>
                <c:pt idx="43">
                  <c:v>24</c:v>
                </c:pt>
                <c:pt idx="44">
                  <c:v>25</c:v>
                </c:pt>
                <c:pt idx="45">
                  <c:v>24</c:v>
                </c:pt>
                <c:pt idx="46">
                  <c:v>26</c:v>
                </c:pt>
                <c:pt idx="47">
                  <c:v>32</c:v>
                </c:pt>
                <c:pt idx="48">
                  <c:v>28</c:v>
                </c:pt>
                <c:pt idx="49">
                  <c:v>38</c:v>
                </c:pt>
                <c:pt idx="50">
                  <c:v>35</c:v>
                </c:pt>
                <c:pt idx="51">
                  <c:v>33</c:v>
                </c:pt>
                <c:pt idx="52">
                  <c:v>7.4</c:v>
                </c:pt>
                <c:pt idx="53">
                  <c:v>9.8000000000000007</c:v>
                </c:pt>
                <c:pt idx="54">
                  <c:v>11.2</c:v>
                </c:pt>
                <c:pt idx="55">
                  <c:v>10.8</c:v>
                </c:pt>
                <c:pt idx="56">
                  <c:v>13</c:v>
                </c:pt>
                <c:pt idx="57">
                  <c:v>15</c:v>
                </c:pt>
                <c:pt idx="58">
                  <c:v>14</c:v>
                </c:pt>
                <c:pt idx="59">
                  <c:v>10</c:v>
                </c:pt>
                <c:pt idx="60">
                  <c:v>13</c:v>
                </c:pt>
                <c:pt idx="61">
                  <c:v>8</c:v>
                </c:pt>
                <c:pt idx="62">
                  <c:v>10</c:v>
                </c:pt>
                <c:pt idx="63">
                  <c:v>16</c:v>
                </c:pt>
                <c:pt idx="64">
                  <c:v>28</c:v>
                </c:pt>
                <c:pt idx="65">
                  <c:v>23</c:v>
                </c:pt>
                <c:pt idx="66">
                  <c:v>8.1999999999999993</c:v>
                </c:pt>
                <c:pt idx="67">
                  <c:v>13.8</c:v>
                </c:pt>
                <c:pt idx="68">
                  <c:v>36</c:v>
                </c:pt>
                <c:pt idx="69">
                  <c:v>9.6</c:v>
                </c:pt>
                <c:pt idx="70">
                  <c:v>14</c:v>
                </c:pt>
                <c:pt idx="71">
                  <c:v>13</c:v>
                </c:pt>
                <c:pt idx="72">
                  <c:v>29</c:v>
                </c:pt>
                <c:pt idx="73">
                  <c:v>29</c:v>
                </c:pt>
                <c:pt idx="74">
                  <c:v>36</c:v>
                </c:pt>
                <c:pt idx="75">
                  <c:v>4.8</c:v>
                </c:pt>
                <c:pt idx="76">
                  <c:v>6.6</c:v>
                </c:pt>
                <c:pt idx="77">
                  <c:v>17</c:v>
                </c:pt>
              </c:numCache>
            </c:numRef>
          </c:xVal>
          <c:yVal>
            <c:numRef>
              <c:f>'Tab. 10cop'!$E$138:$E$215</c:f>
              <c:numCache>
                <c:formatCode>General</c:formatCode>
                <c:ptCount val="78"/>
                <c:pt idx="0">
                  <c:v>7.1</c:v>
                </c:pt>
                <c:pt idx="1">
                  <c:v>8.1</c:v>
                </c:pt>
                <c:pt idx="2">
                  <c:v>7</c:v>
                </c:pt>
                <c:pt idx="3">
                  <c:v>7</c:v>
                </c:pt>
                <c:pt idx="4">
                  <c:v>7.7</c:v>
                </c:pt>
                <c:pt idx="5">
                  <c:v>7.6</c:v>
                </c:pt>
                <c:pt idx="6">
                  <c:v>7.4</c:v>
                </c:pt>
                <c:pt idx="7">
                  <c:v>7.5</c:v>
                </c:pt>
                <c:pt idx="8">
                  <c:v>6.6</c:v>
                </c:pt>
                <c:pt idx="9">
                  <c:v>8.6</c:v>
                </c:pt>
                <c:pt idx="10">
                  <c:v>9</c:v>
                </c:pt>
                <c:pt idx="11">
                  <c:v>11.2</c:v>
                </c:pt>
                <c:pt idx="12">
                  <c:v>13.6</c:v>
                </c:pt>
                <c:pt idx="13">
                  <c:v>9</c:v>
                </c:pt>
                <c:pt idx="14">
                  <c:v>17</c:v>
                </c:pt>
                <c:pt idx="15">
                  <c:v>21</c:v>
                </c:pt>
                <c:pt idx="16">
                  <c:v>32</c:v>
                </c:pt>
                <c:pt idx="17">
                  <c:v>8.1999999999999993</c:v>
                </c:pt>
                <c:pt idx="18">
                  <c:v>8.1</c:v>
                </c:pt>
                <c:pt idx="19">
                  <c:v>7.8</c:v>
                </c:pt>
                <c:pt idx="20">
                  <c:v>8.6</c:v>
                </c:pt>
                <c:pt idx="21">
                  <c:v>6.3</c:v>
                </c:pt>
                <c:pt idx="22">
                  <c:v>7</c:v>
                </c:pt>
                <c:pt idx="23">
                  <c:v>8.8000000000000007</c:v>
                </c:pt>
                <c:pt idx="24">
                  <c:v>9</c:v>
                </c:pt>
                <c:pt idx="25">
                  <c:v>11.6</c:v>
                </c:pt>
                <c:pt idx="26">
                  <c:v>10.8</c:v>
                </c:pt>
                <c:pt idx="27">
                  <c:v>9.6</c:v>
                </c:pt>
                <c:pt idx="28">
                  <c:v>12.4</c:v>
                </c:pt>
                <c:pt idx="29">
                  <c:v>9.8000000000000007</c:v>
                </c:pt>
                <c:pt idx="30">
                  <c:v>10.199999999999999</c:v>
                </c:pt>
                <c:pt idx="31">
                  <c:v>15</c:v>
                </c:pt>
                <c:pt idx="32">
                  <c:v>10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12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24</c:v>
                </c:pt>
                <c:pt idx="43">
                  <c:v>17</c:v>
                </c:pt>
                <c:pt idx="44">
                  <c:v>27</c:v>
                </c:pt>
                <c:pt idx="45">
                  <c:v>21</c:v>
                </c:pt>
                <c:pt idx="46">
                  <c:v>28</c:v>
                </c:pt>
                <c:pt idx="47">
                  <c:v>27</c:v>
                </c:pt>
                <c:pt idx="48">
                  <c:v>20</c:v>
                </c:pt>
                <c:pt idx="49">
                  <c:v>30</c:v>
                </c:pt>
                <c:pt idx="50">
                  <c:v>29</c:v>
                </c:pt>
                <c:pt idx="51">
                  <c:v>32</c:v>
                </c:pt>
                <c:pt idx="52">
                  <c:v>8.5</c:v>
                </c:pt>
                <c:pt idx="53">
                  <c:v>7</c:v>
                </c:pt>
                <c:pt idx="54">
                  <c:v>9.4</c:v>
                </c:pt>
                <c:pt idx="55">
                  <c:v>12</c:v>
                </c:pt>
                <c:pt idx="56">
                  <c:v>10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5</c:v>
                </c:pt>
                <c:pt idx="62">
                  <c:v>5</c:v>
                </c:pt>
                <c:pt idx="63">
                  <c:v>21</c:v>
                </c:pt>
                <c:pt idx="64">
                  <c:v>26</c:v>
                </c:pt>
                <c:pt idx="65">
                  <c:v>26</c:v>
                </c:pt>
                <c:pt idx="66">
                  <c:v>6.2</c:v>
                </c:pt>
                <c:pt idx="67">
                  <c:v>14.2</c:v>
                </c:pt>
                <c:pt idx="68">
                  <c:v>32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29</c:v>
                </c:pt>
                <c:pt idx="73">
                  <c:v>27</c:v>
                </c:pt>
                <c:pt idx="74">
                  <c:v>30</c:v>
                </c:pt>
                <c:pt idx="75">
                  <c:v>5.6</c:v>
                </c:pt>
                <c:pt idx="76">
                  <c:v>8</c:v>
                </c:pt>
                <c:pt idx="77">
                  <c:v>21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'Tab. 10cop'!$F$6</c:f>
              <c:strCache>
                <c:ptCount val="1"/>
                <c:pt idx="0">
                  <c:v>b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FF"/>
                </a:solidFill>
                <a:prstDash val="solid"/>
              </a:ln>
            </c:spPr>
            <c:trendlineType val="poly"/>
            <c:order val="2"/>
            <c:dispRSqr val="0"/>
            <c:dispEq val="0"/>
          </c:trendline>
          <c:xVal>
            <c:numRef>
              <c:f>'Tab. 10cop'!$D$6:$D$48</c:f>
              <c:numCache>
                <c:formatCode>General</c:formatCode>
                <c:ptCount val="43"/>
                <c:pt idx="0">
                  <c:v>8</c:v>
                </c:pt>
                <c:pt idx="1">
                  <c:v>6.4</c:v>
                </c:pt>
                <c:pt idx="2">
                  <c:v>8</c:v>
                </c:pt>
                <c:pt idx="3">
                  <c:v>7.3</c:v>
                </c:pt>
                <c:pt idx="4">
                  <c:v>6</c:v>
                </c:pt>
                <c:pt idx="5">
                  <c:v>9</c:v>
                </c:pt>
                <c:pt idx="6">
                  <c:v>8</c:v>
                </c:pt>
                <c:pt idx="7">
                  <c:v>8</c:v>
                </c:pt>
                <c:pt idx="8">
                  <c:v>6</c:v>
                </c:pt>
                <c:pt idx="9">
                  <c:v>7.8</c:v>
                </c:pt>
                <c:pt idx="10">
                  <c:v>6.4</c:v>
                </c:pt>
                <c:pt idx="11">
                  <c:v>4.5999999999999996</c:v>
                </c:pt>
                <c:pt idx="12">
                  <c:v>5.0999999999999996</c:v>
                </c:pt>
                <c:pt idx="13">
                  <c:v>5.2</c:v>
                </c:pt>
                <c:pt idx="14">
                  <c:v>10</c:v>
                </c:pt>
                <c:pt idx="15">
                  <c:v>8</c:v>
                </c:pt>
                <c:pt idx="16">
                  <c:v>21</c:v>
                </c:pt>
                <c:pt idx="17">
                  <c:v>2.6</c:v>
                </c:pt>
                <c:pt idx="18">
                  <c:v>5.2</c:v>
                </c:pt>
                <c:pt idx="19">
                  <c:v>5.5</c:v>
                </c:pt>
                <c:pt idx="20">
                  <c:v>8.6999999999999993</c:v>
                </c:pt>
                <c:pt idx="21">
                  <c:v>8</c:v>
                </c:pt>
                <c:pt idx="22">
                  <c:v>4.8</c:v>
                </c:pt>
                <c:pt idx="23">
                  <c:v>6.2</c:v>
                </c:pt>
                <c:pt idx="24">
                  <c:v>8.6</c:v>
                </c:pt>
                <c:pt idx="25">
                  <c:v>8.4</c:v>
                </c:pt>
                <c:pt idx="26">
                  <c:v>11</c:v>
                </c:pt>
                <c:pt idx="27">
                  <c:v>11</c:v>
                </c:pt>
                <c:pt idx="28">
                  <c:v>22</c:v>
                </c:pt>
                <c:pt idx="29">
                  <c:v>28</c:v>
                </c:pt>
                <c:pt idx="30">
                  <c:v>22</c:v>
                </c:pt>
                <c:pt idx="31">
                  <c:v>7.7</c:v>
                </c:pt>
                <c:pt idx="32">
                  <c:v>5.9</c:v>
                </c:pt>
                <c:pt idx="33">
                  <c:v>8</c:v>
                </c:pt>
                <c:pt idx="34">
                  <c:v>8.4</c:v>
                </c:pt>
                <c:pt idx="35">
                  <c:v>6.3</c:v>
                </c:pt>
                <c:pt idx="36">
                  <c:v>7.2</c:v>
                </c:pt>
                <c:pt idx="37">
                  <c:v>9.1999999999999993</c:v>
                </c:pt>
                <c:pt idx="38">
                  <c:v>11.2</c:v>
                </c:pt>
                <c:pt idx="39">
                  <c:v>9</c:v>
                </c:pt>
                <c:pt idx="40">
                  <c:v>12</c:v>
                </c:pt>
                <c:pt idx="41">
                  <c:v>13</c:v>
                </c:pt>
                <c:pt idx="42">
                  <c:v>18</c:v>
                </c:pt>
              </c:numCache>
            </c:numRef>
          </c:xVal>
          <c:yVal>
            <c:numRef>
              <c:f>'Tab. 10cop'!$E$6:$E$48</c:f>
              <c:numCache>
                <c:formatCode>General</c:formatCode>
                <c:ptCount val="43"/>
                <c:pt idx="0">
                  <c:v>9</c:v>
                </c:pt>
                <c:pt idx="1">
                  <c:v>5.8</c:v>
                </c:pt>
                <c:pt idx="2">
                  <c:v>6.6</c:v>
                </c:pt>
                <c:pt idx="3">
                  <c:v>5.9</c:v>
                </c:pt>
                <c:pt idx="4">
                  <c:v>8.4</c:v>
                </c:pt>
                <c:pt idx="5">
                  <c:v>8</c:v>
                </c:pt>
                <c:pt idx="6">
                  <c:v>11</c:v>
                </c:pt>
                <c:pt idx="7">
                  <c:v>5</c:v>
                </c:pt>
                <c:pt idx="8">
                  <c:v>5</c:v>
                </c:pt>
                <c:pt idx="9">
                  <c:v>6.8</c:v>
                </c:pt>
                <c:pt idx="10">
                  <c:v>6.1</c:v>
                </c:pt>
                <c:pt idx="11">
                  <c:v>4.5</c:v>
                </c:pt>
                <c:pt idx="12">
                  <c:v>5.8</c:v>
                </c:pt>
                <c:pt idx="13">
                  <c:v>7</c:v>
                </c:pt>
                <c:pt idx="14">
                  <c:v>11</c:v>
                </c:pt>
                <c:pt idx="15">
                  <c:v>11</c:v>
                </c:pt>
                <c:pt idx="16">
                  <c:v>21</c:v>
                </c:pt>
                <c:pt idx="17">
                  <c:v>2.8</c:v>
                </c:pt>
                <c:pt idx="18">
                  <c:v>8</c:v>
                </c:pt>
                <c:pt idx="19">
                  <c:v>5.4</c:v>
                </c:pt>
                <c:pt idx="20">
                  <c:v>6.8</c:v>
                </c:pt>
                <c:pt idx="21">
                  <c:v>8.6</c:v>
                </c:pt>
                <c:pt idx="22">
                  <c:v>6.4</c:v>
                </c:pt>
                <c:pt idx="23">
                  <c:v>9.4</c:v>
                </c:pt>
                <c:pt idx="24">
                  <c:v>11</c:v>
                </c:pt>
                <c:pt idx="25">
                  <c:v>11.8</c:v>
                </c:pt>
                <c:pt idx="26">
                  <c:v>15</c:v>
                </c:pt>
                <c:pt idx="27">
                  <c:v>15</c:v>
                </c:pt>
                <c:pt idx="28">
                  <c:v>25</c:v>
                </c:pt>
                <c:pt idx="29">
                  <c:v>28</c:v>
                </c:pt>
                <c:pt idx="30">
                  <c:v>27</c:v>
                </c:pt>
                <c:pt idx="31">
                  <c:v>7.6</c:v>
                </c:pt>
                <c:pt idx="32">
                  <c:v>7.2</c:v>
                </c:pt>
                <c:pt idx="33">
                  <c:v>8.5</c:v>
                </c:pt>
                <c:pt idx="34">
                  <c:v>7.9</c:v>
                </c:pt>
                <c:pt idx="35">
                  <c:v>7.8</c:v>
                </c:pt>
                <c:pt idx="36">
                  <c:v>9.1</c:v>
                </c:pt>
                <c:pt idx="37">
                  <c:v>9</c:v>
                </c:pt>
                <c:pt idx="38">
                  <c:v>13.4</c:v>
                </c:pt>
                <c:pt idx="39">
                  <c:v>9</c:v>
                </c:pt>
                <c:pt idx="40">
                  <c:v>11</c:v>
                </c:pt>
                <c:pt idx="41">
                  <c:v>15</c:v>
                </c:pt>
                <c:pt idx="42">
                  <c:v>21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'Tab. 10cop'!$F$49</c:f>
              <c:strCache>
                <c:ptCount val="1"/>
                <c:pt idx="0">
                  <c:v>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FF00"/>
                </a:solidFill>
                <a:prstDash val="solid"/>
              </a:ln>
            </c:spPr>
            <c:trendlineType val="poly"/>
            <c:order val="3"/>
            <c:dispRSqr val="0"/>
            <c:dispEq val="0"/>
          </c:trendline>
          <c:xVal>
            <c:numRef>
              <c:f>'Tab. 10cop'!$D$49:$D$137</c:f>
              <c:numCache>
                <c:formatCode>General</c:formatCode>
                <c:ptCount val="89"/>
                <c:pt idx="0">
                  <c:v>11.4</c:v>
                </c:pt>
                <c:pt idx="1">
                  <c:v>16</c:v>
                </c:pt>
                <c:pt idx="2">
                  <c:v>21</c:v>
                </c:pt>
                <c:pt idx="3">
                  <c:v>37</c:v>
                </c:pt>
                <c:pt idx="4">
                  <c:v>50</c:v>
                </c:pt>
                <c:pt idx="5">
                  <c:v>7.6</c:v>
                </c:pt>
                <c:pt idx="6">
                  <c:v>10.199999999999999</c:v>
                </c:pt>
                <c:pt idx="7">
                  <c:v>14.6</c:v>
                </c:pt>
                <c:pt idx="8">
                  <c:v>10.6</c:v>
                </c:pt>
                <c:pt idx="9">
                  <c:v>18</c:v>
                </c:pt>
                <c:pt idx="10">
                  <c:v>18</c:v>
                </c:pt>
                <c:pt idx="11">
                  <c:v>17</c:v>
                </c:pt>
                <c:pt idx="12">
                  <c:v>14</c:v>
                </c:pt>
                <c:pt idx="13">
                  <c:v>9</c:v>
                </c:pt>
                <c:pt idx="14">
                  <c:v>11</c:v>
                </c:pt>
                <c:pt idx="15">
                  <c:v>13</c:v>
                </c:pt>
                <c:pt idx="16">
                  <c:v>52</c:v>
                </c:pt>
                <c:pt idx="17">
                  <c:v>15</c:v>
                </c:pt>
                <c:pt idx="18">
                  <c:v>12</c:v>
                </c:pt>
                <c:pt idx="19">
                  <c:v>14</c:v>
                </c:pt>
                <c:pt idx="20">
                  <c:v>33</c:v>
                </c:pt>
                <c:pt idx="21">
                  <c:v>32</c:v>
                </c:pt>
                <c:pt idx="22">
                  <c:v>3.3</c:v>
                </c:pt>
                <c:pt idx="23">
                  <c:v>8.1999999999999993</c:v>
                </c:pt>
                <c:pt idx="24">
                  <c:v>10.199999999999999</c:v>
                </c:pt>
                <c:pt idx="25">
                  <c:v>17</c:v>
                </c:pt>
                <c:pt idx="26">
                  <c:v>13</c:v>
                </c:pt>
                <c:pt idx="27">
                  <c:v>12</c:v>
                </c:pt>
                <c:pt idx="28">
                  <c:v>42</c:v>
                </c:pt>
                <c:pt idx="29">
                  <c:v>29</c:v>
                </c:pt>
                <c:pt idx="30">
                  <c:v>41</c:v>
                </c:pt>
                <c:pt idx="31">
                  <c:v>13.8</c:v>
                </c:pt>
                <c:pt idx="32">
                  <c:v>9.9</c:v>
                </c:pt>
                <c:pt idx="33">
                  <c:v>7.6</c:v>
                </c:pt>
                <c:pt idx="34">
                  <c:v>10.7</c:v>
                </c:pt>
                <c:pt idx="35">
                  <c:v>10.5</c:v>
                </c:pt>
                <c:pt idx="36">
                  <c:v>11.6</c:v>
                </c:pt>
                <c:pt idx="37">
                  <c:v>11</c:v>
                </c:pt>
                <c:pt idx="38">
                  <c:v>12</c:v>
                </c:pt>
                <c:pt idx="39">
                  <c:v>9.8000000000000007</c:v>
                </c:pt>
                <c:pt idx="40">
                  <c:v>7.5</c:v>
                </c:pt>
                <c:pt idx="41">
                  <c:v>11.2</c:v>
                </c:pt>
                <c:pt idx="42">
                  <c:v>14.6</c:v>
                </c:pt>
                <c:pt idx="43">
                  <c:v>12.2</c:v>
                </c:pt>
                <c:pt idx="44">
                  <c:v>15.8</c:v>
                </c:pt>
                <c:pt idx="45">
                  <c:v>21</c:v>
                </c:pt>
                <c:pt idx="46">
                  <c:v>20</c:v>
                </c:pt>
                <c:pt idx="47">
                  <c:v>16</c:v>
                </c:pt>
                <c:pt idx="48">
                  <c:v>16</c:v>
                </c:pt>
                <c:pt idx="49">
                  <c:v>15</c:v>
                </c:pt>
                <c:pt idx="50">
                  <c:v>14</c:v>
                </c:pt>
                <c:pt idx="51">
                  <c:v>11</c:v>
                </c:pt>
                <c:pt idx="52">
                  <c:v>11</c:v>
                </c:pt>
                <c:pt idx="53">
                  <c:v>22</c:v>
                </c:pt>
                <c:pt idx="54">
                  <c:v>27</c:v>
                </c:pt>
                <c:pt idx="55">
                  <c:v>32</c:v>
                </c:pt>
                <c:pt idx="56">
                  <c:v>29</c:v>
                </c:pt>
                <c:pt idx="57">
                  <c:v>35</c:v>
                </c:pt>
                <c:pt idx="58">
                  <c:v>39</c:v>
                </c:pt>
                <c:pt idx="59">
                  <c:v>37</c:v>
                </c:pt>
                <c:pt idx="60">
                  <c:v>43</c:v>
                </c:pt>
                <c:pt idx="61">
                  <c:v>53</c:v>
                </c:pt>
                <c:pt idx="62">
                  <c:v>39</c:v>
                </c:pt>
                <c:pt idx="63">
                  <c:v>49</c:v>
                </c:pt>
                <c:pt idx="64">
                  <c:v>36</c:v>
                </c:pt>
                <c:pt idx="65">
                  <c:v>42</c:v>
                </c:pt>
                <c:pt idx="66">
                  <c:v>50</c:v>
                </c:pt>
                <c:pt idx="67">
                  <c:v>40</c:v>
                </c:pt>
                <c:pt idx="68">
                  <c:v>11.2</c:v>
                </c:pt>
                <c:pt idx="69">
                  <c:v>9</c:v>
                </c:pt>
                <c:pt idx="70">
                  <c:v>9.6</c:v>
                </c:pt>
                <c:pt idx="71">
                  <c:v>12.2</c:v>
                </c:pt>
                <c:pt idx="72">
                  <c:v>10.1</c:v>
                </c:pt>
                <c:pt idx="73">
                  <c:v>11.5</c:v>
                </c:pt>
                <c:pt idx="74">
                  <c:v>12.2</c:v>
                </c:pt>
                <c:pt idx="75">
                  <c:v>11.9</c:v>
                </c:pt>
                <c:pt idx="76">
                  <c:v>12.4</c:v>
                </c:pt>
                <c:pt idx="77">
                  <c:v>15.6</c:v>
                </c:pt>
                <c:pt idx="78">
                  <c:v>18</c:v>
                </c:pt>
                <c:pt idx="79">
                  <c:v>21</c:v>
                </c:pt>
                <c:pt idx="80">
                  <c:v>24</c:v>
                </c:pt>
                <c:pt idx="81">
                  <c:v>15</c:v>
                </c:pt>
                <c:pt idx="82">
                  <c:v>19</c:v>
                </c:pt>
                <c:pt idx="83">
                  <c:v>21</c:v>
                </c:pt>
                <c:pt idx="84">
                  <c:v>19</c:v>
                </c:pt>
                <c:pt idx="85">
                  <c:v>24</c:v>
                </c:pt>
                <c:pt idx="86">
                  <c:v>32</c:v>
                </c:pt>
                <c:pt idx="87">
                  <c:v>37</c:v>
                </c:pt>
                <c:pt idx="88">
                  <c:v>43</c:v>
                </c:pt>
              </c:numCache>
            </c:numRef>
          </c:xVal>
          <c:yVal>
            <c:numRef>
              <c:f>'Tab. 10cop'!$E$49:$E$137</c:f>
              <c:numCache>
                <c:formatCode>General</c:formatCode>
                <c:ptCount val="89"/>
                <c:pt idx="0">
                  <c:v>7.2</c:v>
                </c:pt>
                <c:pt idx="1">
                  <c:v>11</c:v>
                </c:pt>
                <c:pt idx="2">
                  <c:v>18</c:v>
                </c:pt>
                <c:pt idx="3">
                  <c:v>24</c:v>
                </c:pt>
                <c:pt idx="4">
                  <c:v>25</c:v>
                </c:pt>
                <c:pt idx="5">
                  <c:v>6.9</c:v>
                </c:pt>
                <c:pt idx="6">
                  <c:v>7.8</c:v>
                </c:pt>
                <c:pt idx="7">
                  <c:v>8.5</c:v>
                </c:pt>
                <c:pt idx="8">
                  <c:v>7.7</c:v>
                </c:pt>
                <c:pt idx="9">
                  <c:v>10</c:v>
                </c:pt>
                <c:pt idx="10">
                  <c:v>13</c:v>
                </c:pt>
                <c:pt idx="11">
                  <c:v>18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31</c:v>
                </c:pt>
                <c:pt idx="17">
                  <c:v>11</c:v>
                </c:pt>
                <c:pt idx="18">
                  <c:v>6</c:v>
                </c:pt>
                <c:pt idx="19">
                  <c:v>7</c:v>
                </c:pt>
                <c:pt idx="20">
                  <c:v>25</c:v>
                </c:pt>
                <c:pt idx="21">
                  <c:v>21</c:v>
                </c:pt>
                <c:pt idx="22">
                  <c:v>3.1</c:v>
                </c:pt>
                <c:pt idx="23">
                  <c:v>8.8000000000000007</c:v>
                </c:pt>
                <c:pt idx="24">
                  <c:v>8.3000000000000007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22</c:v>
                </c:pt>
                <c:pt idx="29">
                  <c:v>22</c:v>
                </c:pt>
                <c:pt idx="30">
                  <c:v>33</c:v>
                </c:pt>
                <c:pt idx="31">
                  <c:v>7.4</c:v>
                </c:pt>
                <c:pt idx="32">
                  <c:v>8.6</c:v>
                </c:pt>
                <c:pt idx="33">
                  <c:v>7.3</c:v>
                </c:pt>
                <c:pt idx="34">
                  <c:v>8.6999999999999993</c:v>
                </c:pt>
                <c:pt idx="35">
                  <c:v>8.4</c:v>
                </c:pt>
                <c:pt idx="36">
                  <c:v>8</c:v>
                </c:pt>
                <c:pt idx="37">
                  <c:v>7.8</c:v>
                </c:pt>
                <c:pt idx="38">
                  <c:v>7.5</c:v>
                </c:pt>
                <c:pt idx="39">
                  <c:v>7.2</c:v>
                </c:pt>
                <c:pt idx="40">
                  <c:v>8.4</c:v>
                </c:pt>
                <c:pt idx="41">
                  <c:v>8.6</c:v>
                </c:pt>
                <c:pt idx="42">
                  <c:v>12.6</c:v>
                </c:pt>
                <c:pt idx="43">
                  <c:v>10.4</c:v>
                </c:pt>
                <c:pt idx="44">
                  <c:v>10.199999999999999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17</c:v>
                </c:pt>
                <c:pt idx="49">
                  <c:v>16</c:v>
                </c:pt>
                <c:pt idx="50">
                  <c:v>15</c:v>
                </c:pt>
                <c:pt idx="51">
                  <c:v>6</c:v>
                </c:pt>
                <c:pt idx="52">
                  <c:v>6</c:v>
                </c:pt>
                <c:pt idx="53">
                  <c:v>21</c:v>
                </c:pt>
                <c:pt idx="54">
                  <c:v>25</c:v>
                </c:pt>
                <c:pt idx="55">
                  <c:v>25</c:v>
                </c:pt>
                <c:pt idx="56">
                  <c:v>27</c:v>
                </c:pt>
                <c:pt idx="57">
                  <c:v>31</c:v>
                </c:pt>
                <c:pt idx="58">
                  <c:v>31</c:v>
                </c:pt>
                <c:pt idx="59">
                  <c:v>29</c:v>
                </c:pt>
                <c:pt idx="60">
                  <c:v>28</c:v>
                </c:pt>
                <c:pt idx="61">
                  <c:v>31</c:v>
                </c:pt>
                <c:pt idx="62">
                  <c:v>30</c:v>
                </c:pt>
                <c:pt idx="63">
                  <c:v>31</c:v>
                </c:pt>
                <c:pt idx="64">
                  <c:v>31</c:v>
                </c:pt>
                <c:pt idx="65">
                  <c:v>30</c:v>
                </c:pt>
                <c:pt idx="66">
                  <c:v>34</c:v>
                </c:pt>
                <c:pt idx="67">
                  <c:v>31</c:v>
                </c:pt>
                <c:pt idx="68">
                  <c:v>9.6</c:v>
                </c:pt>
                <c:pt idx="69">
                  <c:v>7.6</c:v>
                </c:pt>
                <c:pt idx="70">
                  <c:v>8.3000000000000007</c:v>
                </c:pt>
                <c:pt idx="71">
                  <c:v>8.6</c:v>
                </c:pt>
                <c:pt idx="72">
                  <c:v>9.4</c:v>
                </c:pt>
                <c:pt idx="73">
                  <c:v>9.3000000000000007</c:v>
                </c:pt>
                <c:pt idx="74">
                  <c:v>9.1999999999999993</c:v>
                </c:pt>
                <c:pt idx="75">
                  <c:v>11.6</c:v>
                </c:pt>
                <c:pt idx="76">
                  <c:v>12.6</c:v>
                </c:pt>
                <c:pt idx="77">
                  <c:v>14.6</c:v>
                </c:pt>
                <c:pt idx="78">
                  <c:v>13</c:v>
                </c:pt>
                <c:pt idx="79">
                  <c:v>14</c:v>
                </c:pt>
                <c:pt idx="80">
                  <c:v>13</c:v>
                </c:pt>
                <c:pt idx="81">
                  <c:v>13</c:v>
                </c:pt>
                <c:pt idx="82">
                  <c:v>17</c:v>
                </c:pt>
                <c:pt idx="83">
                  <c:v>18</c:v>
                </c:pt>
                <c:pt idx="84">
                  <c:v>18</c:v>
                </c:pt>
                <c:pt idx="85">
                  <c:v>22</c:v>
                </c:pt>
                <c:pt idx="86">
                  <c:v>28</c:v>
                </c:pt>
                <c:pt idx="87">
                  <c:v>27</c:v>
                </c:pt>
                <c:pt idx="88">
                  <c:v>33</c:v>
                </c:pt>
              </c:numCache>
            </c:numRef>
          </c:yVal>
          <c:smooth val="0"/>
        </c:ser>
        <c:ser>
          <c:idx val="3"/>
          <c:order val="3"/>
          <c:spPr>
            <a:ln w="3175">
              <a:solidFill>
                <a:srgbClr val="FF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'empirische Formeln'!$A$5:$A$17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'empirische Formeln'!$B$5:$B$17</c:f>
              <c:numCache>
                <c:formatCode>0.00</c:formatCode>
                <c:ptCount val="13"/>
                <c:pt idx="0">
                  <c:v>3.1829549662798167</c:v>
                </c:pt>
                <c:pt idx="1">
                  <c:v>4.0266223253455999</c:v>
                </c:pt>
                <c:pt idx="2">
                  <c:v>4.5929418874604266</c:v>
                </c:pt>
                <c:pt idx="3">
                  <c:v>5.0290308787568856</c:v>
                </c:pt>
                <c:pt idx="4">
                  <c:v>5.3874068579452166</c:v>
                </c:pt>
                <c:pt idx="5">
                  <c:v>5.6934809334290959</c:v>
                </c:pt>
                <c:pt idx="6">
                  <c:v>5.9616637624063529</c:v>
                </c:pt>
                <c:pt idx="7">
                  <c:v>6.2009854089375329</c:v>
                </c:pt>
                <c:pt idx="8">
                  <c:v>6.4175094572244324</c:v>
                </c:pt>
                <c:pt idx="9">
                  <c:v>6.6155203384576264</c:v>
                </c:pt>
                <c:pt idx="10">
                  <c:v>6.7981663309461329</c:v>
                </c:pt>
                <c:pt idx="11">
                  <c:v>6.9678339549046999</c:v>
                </c:pt>
                <c:pt idx="12">
                  <c:v>7.1263786897723298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343040"/>
        <c:axId val="281343616"/>
      </c:scatterChart>
      <c:valAx>
        <c:axId val="28134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 [cm]</a:t>
                </a:r>
              </a:p>
            </c:rich>
          </c:tx>
          <c:layout>
            <c:manualLayout>
              <c:xMode val="edge"/>
              <c:yMode val="edge"/>
              <c:x val="0.38229166666666664"/>
              <c:y val="0.942664418212478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343616"/>
        <c:crosses val="autoZero"/>
        <c:crossBetween val="midCat"/>
      </c:valAx>
      <c:valAx>
        <c:axId val="281343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 [m]</a:t>
                </a:r>
              </a:p>
            </c:rich>
          </c:tx>
          <c:layout>
            <c:manualLayout>
              <c:xMode val="edge"/>
              <c:yMode val="edge"/>
              <c:x val="1.1458333333333333E-2"/>
              <c:y val="0.43676222596964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34304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5312500000000002"/>
          <c:y val="0.38279932546374368"/>
          <c:w val="0.99583333333333335"/>
          <c:h val="0.632377740303541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Pinus sylvestris, data from Burger (1948)</a:t>
            </a:r>
          </a:p>
        </c:rich>
      </c:tx>
      <c:layout>
        <c:manualLayout>
          <c:xMode val="edge"/>
          <c:yMode val="edge"/>
          <c:x val="0.29895833333333333"/>
          <c:y val="7.25126475548060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791666666666669E-2"/>
          <c:y val="4.3844856661045532E-2"/>
          <c:w val="0.67708333333333337"/>
          <c:h val="0.846543001686340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'Tab. 10cop'!$F$138</c:f>
              <c:strCache>
                <c:ptCount val="1"/>
                <c:pt idx="0">
                  <c:v>m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80"/>
                </a:solidFill>
                <a:prstDash val="solid"/>
              </a:ln>
            </c:spPr>
            <c:trendlineType val="poly"/>
            <c:order val="3"/>
            <c:dispRSqr val="0"/>
            <c:dispEq val="0"/>
          </c:trendline>
          <c:xVal>
            <c:numRef>
              <c:f>'Tab. 10cop'!$E$138:$E$215</c:f>
              <c:numCache>
                <c:formatCode>General</c:formatCode>
                <c:ptCount val="78"/>
                <c:pt idx="0">
                  <c:v>7.1</c:v>
                </c:pt>
                <c:pt idx="1">
                  <c:v>8.1</c:v>
                </c:pt>
                <c:pt idx="2">
                  <c:v>7</c:v>
                </c:pt>
                <c:pt idx="3">
                  <c:v>7</c:v>
                </c:pt>
                <c:pt idx="4">
                  <c:v>7.7</c:v>
                </c:pt>
                <c:pt idx="5">
                  <c:v>7.6</c:v>
                </c:pt>
                <c:pt idx="6">
                  <c:v>7.4</c:v>
                </c:pt>
                <c:pt idx="7">
                  <c:v>7.5</c:v>
                </c:pt>
                <c:pt idx="8">
                  <c:v>6.6</c:v>
                </c:pt>
                <c:pt idx="9">
                  <c:v>8.6</c:v>
                </c:pt>
                <c:pt idx="10">
                  <c:v>9</c:v>
                </c:pt>
                <c:pt idx="11">
                  <c:v>11.2</c:v>
                </c:pt>
                <c:pt idx="12">
                  <c:v>13.6</c:v>
                </c:pt>
                <c:pt idx="13">
                  <c:v>9</c:v>
                </c:pt>
                <c:pt idx="14">
                  <c:v>17</c:v>
                </c:pt>
                <c:pt idx="15">
                  <c:v>21</c:v>
                </c:pt>
                <c:pt idx="16">
                  <c:v>32</c:v>
                </c:pt>
                <c:pt idx="17">
                  <c:v>8.1999999999999993</c:v>
                </c:pt>
                <c:pt idx="18">
                  <c:v>8.1</c:v>
                </c:pt>
                <c:pt idx="19">
                  <c:v>7.8</c:v>
                </c:pt>
                <c:pt idx="20">
                  <c:v>8.6</c:v>
                </c:pt>
                <c:pt idx="21">
                  <c:v>6.3</c:v>
                </c:pt>
                <c:pt idx="22">
                  <c:v>7</c:v>
                </c:pt>
                <c:pt idx="23">
                  <c:v>8.8000000000000007</c:v>
                </c:pt>
                <c:pt idx="24">
                  <c:v>9</c:v>
                </c:pt>
                <c:pt idx="25">
                  <c:v>11.6</c:v>
                </c:pt>
                <c:pt idx="26">
                  <c:v>10.8</c:v>
                </c:pt>
                <c:pt idx="27">
                  <c:v>9.6</c:v>
                </c:pt>
                <c:pt idx="28">
                  <c:v>12.4</c:v>
                </c:pt>
                <c:pt idx="29">
                  <c:v>9.8000000000000007</c:v>
                </c:pt>
                <c:pt idx="30">
                  <c:v>10.199999999999999</c:v>
                </c:pt>
                <c:pt idx="31">
                  <c:v>15</c:v>
                </c:pt>
                <c:pt idx="32">
                  <c:v>10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12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24</c:v>
                </c:pt>
                <c:pt idx="43">
                  <c:v>17</c:v>
                </c:pt>
                <c:pt idx="44">
                  <c:v>27</c:v>
                </c:pt>
                <c:pt idx="45">
                  <c:v>21</c:v>
                </c:pt>
                <c:pt idx="46">
                  <c:v>28</c:v>
                </c:pt>
                <c:pt idx="47">
                  <c:v>27</c:v>
                </c:pt>
                <c:pt idx="48">
                  <c:v>20</c:v>
                </c:pt>
                <c:pt idx="49">
                  <c:v>30</c:v>
                </c:pt>
                <c:pt idx="50">
                  <c:v>29</c:v>
                </c:pt>
                <c:pt idx="51">
                  <c:v>32</c:v>
                </c:pt>
                <c:pt idx="52">
                  <c:v>8.5</c:v>
                </c:pt>
                <c:pt idx="53">
                  <c:v>7</c:v>
                </c:pt>
                <c:pt idx="54">
                  <c:v>9.4</c:v>
                </c:pt>
                <c:pt idx="55">
                  <c:v>12</c:v>
                </c:pt>
                <c:pt idx="56">
                  <c:v>10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5</c:v>
                </c:pt>
                <c:pt idx="62">
                  <c:v>5</c:v>
                </c:pt>
                <c:pt idx="63">
                  <c:v>21</c:v>
                </c:pt>
                <c:pt idx="64">
                  <c:v>26</c:v>
                </c:pt>
                <c:pt idx="65">
                  <c:v>26</c:v>
                </c:pt>
                <c:pt idx="66">
                  <c:v>6.2</c:v>
                </c:pt>
                <c:pt idx="67">
                  <c:v>14.2</c:v>
                </c:pt>
                <c:pt idx="68">
                  <c:v>32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29</c:v>
                </c:pt>
                <c:pt idx="73">
                  <c:v>27</c:v>
                </c:pt>
                <c:pt idx="74">
                  <c:v>30</c:v>
                </c:pt>
                <c:pt idx="75">
                  <c:v>5.6</c:v>
                </c:pt>
                <c:pt idx="76">
                  <c:v>8</c:v>
                </c:pt>
                <c:pt idx="77">
                  <c:v>21</c:v>
                </c:pt>
              </c:numCache>
            </c:numRef>
          </c:xVal>
          <c:yVal>
            <c:numRef>
              <c:f>'Tab. 10cop'!$Z$138:$Z$215</c:f>
              <c:numCache>
                <c:formatCode>General</c:formatCode>
                <c:ptCount val="78"/>
                <c:pt idx="0">
                  <c:v>118.33333333333333</c:v>
                </c:pt>
                <c:pt idx="1">
                  <c:v>126.5625</c:v>
                </c:pt>
                <c:pt idx="2">
                  <c:v>89.743589743589752</c:v>
                </c:pt>
                <c:pt idx="3">
                  <c:v>76.92307692307692</c:v>
                </c:pt>
                <c:pt idx="4">
                  <c:v>88.505747126436788</c:v>
                </c:pt>
                <c:pt idx="5">
                  <c:v>83.516483516483518</c:v>
                </c:pt>
                <c:pt idx="6">
                  <c:v>84.090909090909079</c:v>
                </c:pt>
                <c:pt idx="7">
                  <c:v>79.787234042553195</c:v>
                </c:pt>
                <c:pt idx="8">
                  <c:v>126.92307692307692</c:v>
                </c:pt>
                <c:pt idx="9">
                  <c:v>91.489361702127653</c:v>
                </c:pt>
                <c:pt idx="10">
                  <c:v>104.65116279069768</c:v>
                </c:pt>
                <c:pt idx="11">
                  <c:v>112</c:v>
                </c:pt>
                <c:pt idx="12">
                  <c:v>109.6774193548387</c:v>
                </c:pt>
                <c:pt idx="13">
                  <c:v>90</c:v>
                </c:pt>
                <c:pt idx="14">
                  <c:v>100</c:v>
                </c:pt>
                <c:pt idx="15">
                  <c:v>77.777777777777771</c:v>
                </c:pt>
                <c:pt idx="16">
                  <c:v>103.2258064516129</c:v>
                </c:pt>
                <c:pt idx="17">
                  <c:v>91.1111111111111</c:v>
                </c:pt>
                <c:pt idx="18">
                  <c:v>109.45945945945945</c:v>
                </c:pt>
                <c:pt idx="19">
                  <c:v>114.70588235294117</c:v>
                </c:pt>
                <c:pt idx="20">
                  <c:v>104.87804878048782</c:v>
                </c:pt>
                <c:pt idx="21">
                  <c:v>87.5</c:v>
                </c:pt>
                <c:pt idx="22">
                  <c:v>102.94117647058823</c:v>
                </c:pt>
                <c:pt idx="23">
                  <c:v>91.666666666666686</c:v>
                </c:pt>
                <c:pt idx="24">
                  <c:v>67.669172932330824</c:v>
                </c:pt>
                <c:pt idx="25">
                  <c:v>105.45454545454545</c:v>
                </c:pt>
                <c:pt idx="26">
                  <c:v>95.575221238938042</c:v>
                </c:pt>
                <c:pt idx="27">
                  <c:v>106.66666666666667</c:v>
                </c:pt>
                <c:pt idx="28">
                  <c:v>122.77227722772278</c:v>
                </c:pt>
                <c:pt idx="29">
                  <c:v>90.740740740740748</c:v>
                </c:pt>
                <c:pt idx="30">
                  <c:v>104.08163265306121</c:v>
                </c:pt>
                <c:pt idx="31">
                  <c:v>119.04761904761905</c:v>
                </c:pt>
                <c:pt idx="32">
                  <c:v>90.909090909090907</c:v>
                </c:pt>
                <c:pt idx="33">
                  <c:v>114.28571428571429</c:v>
                </c:pt>
                <c:pt idx="34">
                  <c:v>106.66666666666667</c:v>
                </c:pt>
                <c:pt idx="35">
                  <c:v>114.28571428571429</c:v>
                </c:pt>
                <c:pt idx="36">
                  <c:v>120</c:v>
                </c:pt>
                <c:pt idx="37">
                  <c:v>60</c:v>
                </c:pt>
                <c:pt idx="38">
                  <c:v>62.5</c:v>
                </c:pt>
                <c:pt idx="39">
                  <c:v>55.555555555555557</c:v>
                </c:pt>
                <c:pt idx="40">
                  <c:v>60</c:v>
                </c:pt>
                <c:pt idx="41">
                  <c:v>122.22222222222223</c:v>
                </c:pt>
                <c:pt idx="42">
                  <c:v>104.34782608695652</c:v>
                </c:pt>
                <c:pt idx="43">
                  <c:v>70.833333333333329</c:v>
                </c:pt>
                <c:pt idx="44">
                  <c:v>108</c:v>
                </c:pt>
                <c:pt idx="45">
                  <c:v>87.5</c:v>
                </c:pt>
                <c:pt idx="46">
                  <c:v>107.69230769230769</c:v>
                </c:pt>
                <c:pt idx="47">
                  <c:v>84.375</c:v>
                </c:pt>
                <c:pt idx="48">
                  <c:v>71.428571428571431</c:v>
                </c:pt>
                <c:pt idx="49">
                  <c:v>78.94736842105263</c:v>
                </c:pt>
                <c:pt idx="50">
                  <c:v>82.857142857142861</c:v>
                </c:pt>
                <c:pt idx="51">
                  <c:v>96.969696969696969</c:v>
                </c:pt>
                <c:pt idx="52">
                  <c:v>114.86486486486486</c:v>
                </c:pt>
                <c:pt idx="53">
                  <c:v>71.428571428571416</c:v>
                </c:pt>
                <c:pt idx="54">
                  <c:v>83.928571428571431</c:v>
                </c:pt>
                <c:pt idx="55">
                  <c:v>111.1111111111111</c:v>
                </c:pt>
                <c:pt idx="56">
                  <c:v>76.92307692307692</c:v>
                </c:pt>
                <c:pt idx="57">
                  <c:v>86.666666666666671</c:v>
                </c:pt>
                <c:pt idx="58">
                  <c:v>78.571428571428569</c:v>
                </c:pt>
                <c:pt idx="59">
                  <c:v>120</c:v>
                </c:pt>
                <c:pt idx="60">
                  <c:v>100</c:v>
                </c:pt>
                <c:pt idx="61">
                  <c:v>62.5</c:v>
                </c:pt>
                <c:pt idx="62">
                  <c:v>50</c:v>
                </c:pt>
                <c:pt idx="63">
                  <c:v>131.25</c:v>
                </c:pt>
                <c:pt idx="64">
                  <c:v>92.857142857142861</c:v>
                </c:pt>
                <c:pt idx="65">
                  <c:v>113.04347826086956</c:v>
                </c:pt>
                <c:pt idx="66">
                  <c:v>75.609756097560975</c:v>
                </c:pt>
                <c:pt idx="67">
                  <c:v>102.89855072463767</c:v>
                </c:pt>
                <c:pt idx="68">
                  <c:v>88.888888888888886</c:v>
                </c:pt>
                <c:pt idx="69">
                  <c:v>93.75</c:v>
                </c:pt>
                <c:pt idx="70">
                  <c:v>85.714285714285708</c:v>
                </c:pt>
                <c:pt idx="71">
                  <c:v>76.92307692307692</c:v>
                </c:pt>
                <c:pt idx="72">
                  <c:v>100</c:v>
                </c:pt>
                <c:pt idx="73">
                  <c:v>93.103448275862064</c:v>
                </c:pt>
                <c:pt idx="74">
                  <c:v>83.333333333333329</c:v>
                </c:pt>
                <c:pt idx="75">
                  <c:v>116.66666666666667</c:v>
                </c:pt>
                <c:pt idx="76">
                  <c:v>121.21212121212122</c:v>
                </c:pt>
                <c:pt idx="77">
                  <c:v>123.52941176470588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'Tab. 10cop'!$F$6</c:f>
              <c:strCache>
                <c:ptCount val="1"/>
                <c:pt idx="0">
                  <c:v>b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FF"/>
                </a:solidFill>
                <a:prstDash val="solid"/>
              </a:ln>
            </c:spPr>
            <c:trendlineType val="poly"/>
            <c:order val="3"/>
            <c:dispRSqr val="0"/>
            <c:dispEq val="0"/>
          </c:trendline>
          <c:xVal>
            <c:numRef>
              <c:f>'Tab. 10cop'!$E$6:$E$48</c:f>
              <c:numCache>
                <c:formatCode>General</c:formatCode>
                <c:ptCount val="43"/>
                <c:pt idx="0">
                  <c:v>9</c:v>
                </c:pt>
                <c:pt idx="1">
                  <c:v>5.8</c:v>
                </c:pt>
                <c:pt idx="2">
                  <c:v>6.6</c:v>
                </c:pt>
                <c:pt idx="3">
                  <c:v>5.9</c:v>
                </c:pt>
                <c:pt idx="4">
                  <c:v>8.4</c:v>
                </c:pt>
                <c:pt idx="5">
                  <c:v>8</c:v>
                </c:pt>
                <c:pt idx="6">
                  <c:v>11</c:v>
                </c:pt>
                <c:pt idx="7">
                  <c:v>5</c:v>
                </c:pt>
                <c:pt idx="8">
                  <c:v>5</c:v>
                </c:pt>
                <c:pt idx="9">
                  <c:v>6.8</c:v>
                </c:pt>
                <c:pt idx="10">
                  <c:v>6.1</c:v>
                </c:pt>
                <c:pt idx="11">
                  <c:v>4.5</c:v>
                </c:pt>
                <c:pt idx="12">
                  <c:v>5.8</c:v>
                </c:pt>
                <c:pt idx="13">
                  <c:v>7</c:v>
                </c:pt>
                <c:pt idx="14">
                  <c:v>11</c:v>
                </c:pt>
                <c:pt idx="15">
                  <c:v>11</c:v>
                </c:pt>
                <c:pt idx="16">
                  <c:v>21</c:v>
                </c:pt>
                <c:pt idx="17">
                  <c:v>2.8</c:v>
                </c:pt>
                <c:pt idx="18">
                  <c:v>8</c:v>
                </c:pt>
                <c:pt idx="19">
                  <c:v>5.4</c:v>
                </c:pt>
                <c:pt idx="20">
                  <c:v>6.8</c:v>
                </c:pt>
                <c:pt idx="21">
                  <c:v>8.6</c:v>
                </c:pt>
                <c:pt idx="22">
                  <c:v>6.4</c:v>
                </c:pt>
                <c:pt idx="23">
                  <c:v>9.4</c:v>
                </c:pt>
                <c:pt idx="24">
                  <c:v>11</c:v>
                </c:pt>
                <c:pt idx="25">
                  <c:v>11.8</c:v>
                </c:pt>
                <c:pt idx="26">
                  <c:v>15</c:v>
                </c:pt>
                <c:pt idx="27">
                  <c:v>15</c:v>
                </c:pt>
                <c:pt idx="28">
                  <c:v>25</c:v>
                </c:pt>
                <c:pt idx="29">
                  <c:v>28</c:v>
                </c:pt>
                <c:pt idx="30">
                  <c:v>27</c:v>
                </c:pt>
                <c:pt idx="31">
                  <c:v>7.6</c:v>
                </c:pt>
                <c:pt idx="32">
                  <c:v>7.2</c:v>
                </c:pt>
                <c:pt idx="33">
                  <c:v>8.5</c:v>
                </c:pt>
                <c:pt idx="34">
                  <c:v>7.9</c:v>
                </c:pt>
                <c:pt idx="35">
                  <c:v>7.8</c:v>
                </c:pt>
                <c:pt idx="36">
                  <c:v>9.1</c:v>
                </c:pt>
                <c:pt idx="37">
                  <c:v>9</c:v>
                </c:pt>
                <c:pt idx="38">
                  <c:v>13.4</c:v>
                </c:pt>
                <c:pt idx="39">
                  <c:v>9</c:v>
                </c:pt>
                <c:pt idx="40">
                  <c:v>11</c:v>
                </c:pt>
                <c:pt idx="41">
                  <c:v>15</c:v>
                </c:pt>
                <c:pt idx="42">
                  <c:v>21</c:v>
                </c:pt>
              </c:numCache>
            </c:numRef>
          </c:xVal>
          <c:yVal>
            <c:numRef>
              <c:f>'Tab. 10cop'!$Z$6:$Z$48</c:f>
              <c:numCache>
                <c:formatCode>General</c:formatCode>
                <c:ptCount val="43"/>
                <c:pt idx="0">
                  <c:v>112.5</c:v>
                </c:pt>
                <c:pt idx="1">
                  <c:v>90.625</c:v>
                </c:pt>
                <c:pt idx="2">
                  <c:v>82.5</c:v>
                </c:pt>
                <c:pt idx="3">
                  <c:v>80.821917808219183</c:v>
                </c:pt>
                <c:pt idx="4">
                  <c:v>140</c:v>
                </c:pt>
                <c:pt idx="5">
                  <c:v>88.888888888888886</c:v>
                </c:pt>
                <c:pt idx="6">
                  <c:v>137.5</c:v>
                </c:pt>
                <c:pt idx="7">
                  <c:v>62.5</c:v>
                </c:pt>
                <c:pt idx="8">
                  <c:v>83.333333333333329</c:v>
                </c:pt>
                <c:pt idx="9">
                  <c:v>87.179487179487182</c:v>
                </c:pt>
                <c:pt idx="10">
                  <c:v>95.3125</c:v>
                </c:pt>
                <c:pt idx="11">
                  <c:v>97.826086956521749</c:v>
                </c:pt>
                <c:pt idx="12">
                  <c:v>113.72549019607844</c:v>
                </c:pt>
                <c:pt idx="13">
                  <c:v>134.61538461538461</c:v>
                </c:pt>
                <c:pt idx="14">
                  <c:v>110</c:v>
                </c:pt>
                <c:pt idx="15">
                  <c:v>137.5</c:v>
                </c:pt>
                <c:pt idx="16">
                  <c:v>100</c:v>
                </c:pt>
                <c:pt idx="17">
                  <c:v>107.69230769230769</c:v>
                </c:pt>
                <c:pt idx="18">
                  <c:v>153.84615384615384</c:v>
                </c:pt>
                <c:pt idx="19">
                  <c:v>98.181818181818187</c:v>
                </c:pt>
                <c:pt idx="20">
                  <c:v>78.160919540229898</c:v>
                </c:pt>
                <c:pt idx="21">
                  <c:v>107.5</c:v>
                </c:pt>
                <c:pt idx="22">
                  <c:v>133.33333333333334</c:v>
                </c:pt>
                <c:pt idx="23">
                  <c:v>151.61290322580643</c:v>
                </c:pt>
                <c:pt idx="24">
                  <c:v>127.90697674418605</c:v>
                </c:pt>
                <c:pt idx="25">
                  <c:v>140.47619047619048</c:v>
                </c:pt>
                <c:pt idx="26">
                  <c:v>136.36363636363637</c:v>
                </c:pt>
                <c:pt idx="27">
                  <c:v>136.36363636363637</c:v>
                </c:pt>
                <c:pt idx="28">
                  <c:v>113.63636363636364</c:v>
                </c:pt>
                <c:pt idx="29">
                  <c:v>100</c:v>
                </c:pt>
                <c:pt idx="30">
                  <c:v>122.72727272727273</c:v>
                </c:pt>
                <c:pt idx="31">
                  <c:v>98.701298701298697</c:v>
                </c:pt>
                <c:pt idx="32">
                  <c:v>122.03389830508473</c:v>
                </c:pt>
                <c:pt idx="33">
                  <c:v>106.25</c:v>
                </c:pt>
                <c:pt idx="34">
                  <c:v>94.047619047619037</c:v>
                </c:pt>
                <c:pt idx="35">
                  <c:v>123.80952380952381</c:v>
                </c:pt>
                <c:pt idx="36">
                  <c:v>126.38888888888889</c:v>
                </c:pt>
                <c:pt idx="37">
                  <c:v>97.826086956521749</c:v>
                </c:pt>
                <c:pt idx="38">
                  <c:v>119.64285714285715</c:v>
                </c:pt>
                <c:pt idx="39">
                  <c:v>100</c:v>
                </c:pt>
                <c:pt idx="40">
                  <c:v>91.666666666666671</c:v>
                </c:pt>
                <c:pt idx="41">
                  <c:v>115.38461538461539</c:v>
                </c:pt>
                <c:pt idx="42">
                  <c:v>116.66666666666667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'Tab. 10cop'!$F$49</c:f>
              <c:strCache>
                <c:ptCount val="1"/>
                <c:pt idx="0">
                  <c:v>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FF00"/>
                </a:solidFill>
                <a:prstDash val="solid"/>
              </a:ln>
            </c:spPr>
            <c:trendlineType val="poly"/>
            <c:order val="3"/>
            <c:dispRSqr val="0"/>
            <c:dispEq val="0"/>
          </c:trendline>
          <c:xVal>
            <c:numRef>
              <c:f>'Tab. 10cop'!$E$49:$E$137</c:f>
              <c:numCache>
                <c:formatCode>General</c:formatCode>
                <c:ptCount val="89"/>
                <c:pt idx="0">
                  <c:v>7.2</c:v>
                </c:pt>
                <c:pt idx="1">
                  <c:v>11</c:v>
                </c:pt>
                <c:pt idx="2">
                  <c:v>18</c:v>
                </c:pt>
                <c:pt idx="3">
                  <c:v>24</c:v>
                </c:pt>
                <c:pt idx="4">
                  <c:v>25</c:v>
                </c:pt>
                <c:pt idx="5">
                  <c:v>6.9</c:v>
                </c:pt>
                <c:pt idx="6">
                  <c:v>7.8</c:v>
                </c:pt>
                <c:pt idx="7">
                  <c:v>8.5</c:v>
                </c:pt>
                <c:pt idx="8">
                  <c:v>7.7</c:v>
                </c:pt>
                <c:pt idx="9">
                  <c:v>10</c:v>
                </c:pt>
                <c:pt idx="10">
                  <c:v>13</c:v>
                </c:pt>
                <c:pt idx="11">
                  <c:v>18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31</c:v>
                </c:pt>
                <c:pt idx="17">
                  <c:v>11</c:v>
                </c:pt>
                <c:pt idx="18">
                  <c:v>6</c:v>
                </c:pt>
                <c:pt idx="19">
                  <c:v>7</c:v>
                </c:pt>
                <c:pt idx="20">
                  <c:v>25</c:v>
                </c:pt>
                <c:pt idx="21">
                  <c:v>21</c:v>
                </c:pt>
                <c:pt idx="22">
                  <c:v>3.1</c:v>
                </c:pt>
                <c:pt idx="23">
                  <c:v>8.8000000000000007</c:v>
                </c:pt>
                <c:pt idx="24">
                  <c:v>8.3000000000000007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22</c:v>
                </c:pt>
                <c:pt idx="29">
                  <c:v>22</c:v>
                </c:pt>
                <c:pt idx="30">
                  <c:v>33</c:v>
                </c:pt>
                <c:pt idx="31">
                  <c:v>7.4</c:v>
                </c:pt>
                <c:pt idx="32">
                  <c:v>8.6</c:v>
                </c:pt>
                <c:pt idx="33">
                  <c:v>7.3</c:v>
                </c:pt>
                <c:pt idx="34">
                  <c:v>8.6999999999999993</c:v>
                </c:pt>
                <c:pt idx="35">
                  <c:v>8.4</c:v>
                </c:pt>
                <c:pt idx="36">
                  <c:v>8</c:v>
                </c:pt>
                <c:pt idx="37">
                  <c:v>7.8</c:v>
                </c:pt>
                <c:pt idx="38">
                  <c:v>7.5</c:v>
                </c:pt>
                <c:pt idx="39">
                  <c:v>7.2</c:v>
                </c:pt>
                <c:pt idx="40">
                  <c:v>8.4</c:v>
                </c:pt>
                <c:pt idx="41">
                  <c:v>8.6</c:v>
                </c:pt>
                <c:pt idx="42">
                  <c:v>12.6</c:v>
                </c:pt>
                <c:pt idx="43">
                  <c:v>10.4</c:v>
                </c:pt>
                <c:pt idx="44">
                  <c:v>10.199999999999999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17</c:v>
                </c:pt>
                <c:pt idx="49">
                  <c:v>16</c:v>
                </c:pt>
                <c:pt idx="50">
                  <c:v>15</c:v>
                </c:pt>
                <c:pt idx="51">
                  <c:v>6</c:v>
                </c:pt>
                <c:pt idx="52">
                  <c:v>6</c:v>
                </c:pt>
                <c:pt idx="53">
                  <c:v>21</c:v>
                </c:pt>
                <c:pt idx="54">
                  <c:v>25</c:v>
                </c:pt>
                <c:pt idx="55">
                  <c:v>25</c:v>
                </c:pt>
                <c:pt idx="56">
                  <c:v>27</c:v>
                </c:pt>
                <c:pt idx="57">
                  <c:v>31</c:v>
                </c:pt>
                <c:pt idx="58">
                  <c:v>31</c:v>
                </c:pt>
                <c:pt idx="59">
                  <c:v>29</c:v>
                </c:pt>
                <c:pt idx="60">
                  <c:v>28</c:v>
                </c:pt>
                <c:pt idx="61">
                  <c:v>31</c:v>
                </c:pt>
                <c:pt idx="62">
                  <c:v>30</c:v>
                </c:pt>
                <c:pt idx="63">
                  <c:v>31</c:v>
                </c:pt>
                <c:pt idx="64">
                  <c:v>31</c:v>
                </c:pt>
                <c:pt idx="65">
                  <c:v>30</c:v>
                </c:pt>
                <c:pt idx="66">
                  <c:v>34</c:v>
                </c:pt>
                <c:pt idx="67">
                  <c:v>31</c:v>
                </c:pt>
                <c:pt idx="68">
                  <c:v>9.6</c:v>
                </c:pt>
                <c:pt idx="69">
                  <c:v>7.6</c:v>
                </c:pt>
                <c:pt idx="70">
                  <c:v>8.3000000000000007</c:v>
                </c:pt>
                <c:pt idx="71">
                  <c:v>8.6</c:v>
                </c:pt>
                <c:pt idx="72">
                  <c:v>9.4</c:v>
                </c:pt>
                <c:pt idx="73">
                  <c:v>9.3000000000000007</c:v>
                </c:pt>
                <c:pt idx="74">
                  <c:v>9.1999999999999993</c:v>
                </c:pt>
                <c:pt idx="75">
                  <c:v>11.6</c:v>
                </c:pt>
                <c:pt idx="76">
                  <c:v>12.6</c:v>
                </c:pt>
                <c:pt idx="77">
                  <c:v>14.6</c:v>
                </c:pt>
                <c:pt idx="78">
                  <c:v>13</c:v>
                </c:pt>
                <c:pt idx="79">
                  <c:v>14</c:v>
                </c:pt>
                <c:pt idx="80">
                  <c:v>13</c:v>
                </c:pt>
                <c:pt idx="81">
                  <c:v>13</c:v>
                </c:pt>
                <c:pt idx="82">
                  <c:v>17</c:v>
                </c:pt>
                <c:pt idx="83">
                  <c:v>18</c:v>
                </c:pt>
                <c:pt idx="84">
                  <c:v>18</c:v>
                </c:pt>
                <c:pt idx="85">
                  <c:v>22</c:v>
                </c:pt>
                <c:pt idx="86">
                  <c:v>28</c:v>
                </c:pt>
                <c:pt idx="87">
                  <c:v>27</c:v>
                </c:pt>
                <c:pt idx="88">
                  <c:v>33</c:v>
                </c:pt>
              </c:numCache>
            </c:numRef>
          </c:xVal>
          <c:yVal>
            <c:numRef>
              <c:f>'Tab. 10cop'!$Z$49:$Z$137</c:f>
              <c:numCache>
                <c:formatCode>General</c:formatCode>
                <c:ptCount val="89"/>
                <c:pt idx="0">
                  <c:v>63.157894736842103</c:v>
                </c:pt>
                <c:pt idx="1">
                  <c:v>68.75</c:v>
                </c:pt>
                <c:pt idx="2">
                  <c:v>85.714285714285708</c:v>
                </c:pt>
                <c:pt idx="3">
                  <c:v>64.86486486486487</c:v>
                </c:pt>
                <c:pt idx="4">
                  <c:v>50</c:v>
                </c:pt>
                <c:pt idx="5">
                  <c:v>90.789473684210535</c:v>
                </c:pt>
                <c:pt idx="6">
                  <c:v>76.470588235294116</c:v>
                </c:pt>
                <c:pt idx="7">
                  <c:v>58.219178082191782</c:v>
                </c:pt>
                <c:pt idx="8">
                  <c:v>72.64150943396227</c:v>
                </c:pt>
                <c:pt idx="9">
                  <c:v>55.555555555555557</c:v>
                </c:pt>
                <c:pt idx="10">
                  <c:v>72.222222222222229</c:v>
                </c:pt>
                <c:pt idx="11">
                  <c:v>105.88235294117646</c:v>
                </c:pt>
                <c:pt idx="12">
                  <c:v>42.857142857142854</c:v>
                </c:pt>
                <c:pt idx="13">
                  <c:v>55.555555555555557</c:v>
                </c:pt>
                <c:pt idx="14">
                  <c:v>45.454545454545453</c:v>
                </c:pt>
                <c:pt idx="15">
                  <c:v>46.153846153846153</c:v>
                </c:pt>
                <c:pt idx="16">
                  <c:v>59.615384615384613</c:v>
                </c:pt>
                <c:pt idx="17">
                  <c:v>73.333333333333329</c:v>
                </c:pt>
                <c:pt idx="18">
                  <c:v>50</c:v>
                </c:pt>
                <c:pt idx="19">
                  <c:v>50</c:v>
                </c:pt>
                <c:pt idx="20">
                  <c:v>75.757575757575751</c:v>
                </c:pt>
                <c:pt idx="21">
                  <c:v>65.625</c:v>
                </c:pt>
                <c:pt idx="22">
                  <c:v>93.939393939393938</c:v>
                </c:pt>
                <c:pt idx="23">
                  <c:v>107.31707317073173</c:v>
                </c:pt>
                <c:pt idx="24">
                  <c:v>81.37254901960786</c:v>
                </c:pt>
                <c:pt idx="25">
                  <c:v>76.470588235294116</c:v>
                </c:pt>
                <c:pt idx="26">
                  <c:v>76.92307692307692</c:v>
                </c:pt>
                <c:pt idx="27">
                  <c:v>108.33333333333333</c:v>
                </c:pt>
                <c:pt idx="28">
                  <c:v>52.38095238095238</c:v>
                </c:pt>
                <c:pt idx="29">
                  <c:v>75.862068965517238</c:v>
                </c:pt>
                <c:pt idx="30">
                  <c:v>80.487804878048777</c:v>
                </c:pt>
                <c:pt idx="31">
                  <c:v>53.623188405797102</c:v>
                </c:pt>
                <c:pt idx="32">
                  <c:v>86.868686868686865</c:v>
                </c:pt>
                <c:pt idx="33">
                  <c:v>96.05263157894737</c:v>
                </c:pt>
                <c:pt idx="34">
                  <c:v>81.308411214953267</c:v>
                </c:pt>
                <c:pt idx="35">
                  <c:v>80</c:v>
                </c:pt>
                <c:pt idx="36">
                  <c:v>68.965517241379317</c:v>
                </c:pt>
                <c:pt idx="37">
                  <c:v>70.909090909090907</c:v>
                </c:pt>
                <c:pt idx="38">
                  <c:v>62.5</c:v>
                </c:pt>
                <c:pt idx="39">
                  <c:v>73.469387755102034</c:v>
                </c:pt>
                <c:pt idx="40">
                  <c:v>112</c:v>
                </c:pt>
                <c:pt idx="41">
                  <c:v>76.785714285714292</c:v>
                </c:pt>
                <c:pt idx="42">
                  <c:v>86.301369863013704</c:v>
                </c:pt>
                <c:pt idx="43">
                  <c:v>85.245901639344268</c:v>
                </c:pt>
                <c:pt idx="44">
                  <c:v>64.556962025316452</c:v>
                </c:pt>
                <c:pt idx="45">
                  <c:v>61.904761904761905</c:v>
                </c:pt>
                <c:pt idx="46">
                  <c:v>65</c:v>
                </c:pt>
                <c:pt idx="47">
                  <c:v>68.75</c:v>
                </c:pt>
                <c:pt idx="48">
                  <c:v>106.25</c:v>
                </c:pt>
                <c:pt idx="49">
                  <c:v>106.66666666666667</c:v>
                </c:pt>
                <c:pt idx="50">
                  <c:v>107.14285714285714</c:v>
                </c:pt>
                <c:pt idx="51">
                  <c:v>54.545454545454547</c:v>
                </c:pt>
                <c:pt idx="52">
                  <c:v>54.545454545454547</c:v>
                </c:pt>
                <c:pt idx="53">
                  <c:v>95.454545454545453</c:v>
                </c:pt>
                <c:pt idx="54">
                  <c:v>92.592592592592595</c:v>
                </c:pt>
                <c:pt idx="55">
                  <c:v>78.125</c:v>
                </c:pt>
                <c:pt idx="56">
                  <c:v>93.103448275862064</c:v>
                </c:pt>
                <c:pt idx="57">
                  <c:v>88.571428571428569</c:v>
                </c:pt>
                <c:pt idx="58">
                  <c:v>79.487179487179489</c:v>
                </c:pt>
                <c:pt idx="59">
                  <c:v>78.378378378378372</c:v>
                </c:pt>
                <c:pt idx="60">
                  <c:v>65.116279069767444</c:v>
                </c:pt>
                <c:pt idx="61">
                  <c:v>58.490566037735846</c:v>
                </c:pt>
                <c:pt idx="62">
                  <c:v>76.92307692307692</c:v>
                </c:pt>
                <c:pt idx="63">
                  <c:v>63.265306122448976</c:v>
                </c:pt>
                <c:pt idx="64">
                  <c:v>86.111111111111114</c:v>
                </c:pt>
                <c:pt idx="65">
                  <c:v>71.428571428571431</c:v>
                </c:pt>
                <c:pt idx="66">
                  <c:v>68</c:v>
                </c:pt>
                <c:pt idx="67">
                  <c:v>77.5</c:v>
                </c:pt>
                <c:pt idx="68">
                  <c:v>85.714285714285722</c:v>
                </c:pt>
                <c:pt idx="69">
                  <c:v>84.444444444444443</c:v>
                </c:pt>
                <c:pt idx="70">
                  <c:v>86.458333333333343</c:v>
                </c:pt>
                <c:pt idx="71">
                  <c:v>70.491803278688522</c:v>
                </c:pt>
                <c:pt idx="72">
                  <c:v>93.069306930693074</c:v>
                </c:pt>
                <c:pt idx="73">
                  <c:v>80.869565217391312</c:v>
                </c:pt>
                <c:pt idx="74">
                  <c:v>75.409836065573771</c:v>
                </c:pt>
                <c:pt idx="75">
                  <c:v>97.47899159663865</c:v>
                </c:pt>
                <c:pt idx="76">
                  <c:v>101.61290322580645</c:v>
                </c:pt>
                <c:pt idx="77">
                  <c:v>93.589743589743591</c:v>
                </c:pt>
                <c:pt idx="78">
                  <c:v>72.222222222222229</c:v>
                </c:pt>
                <c:pt idx="79">
                  <c:v>66.666666666666671</c:v>
                </c:pt>
                <c:pt idx="80">
                  <c:v>54.166666666666664</c:v>
                </c:pt>
                <c:pt idx="81">
                  <c:v>86.666666666666671</c:v>
                </c:pt>
                <c:pt idx="82">
                  <c:v>89.473684210526315</c:v>
                </c:pt>
                <c:pt idx="83">
                  <c:v>85.714285714285708</c:v>
                </c:pt>
                <c:pt idx="84">
                  <c:v>94.736842105263165</c:v>
                </c:pt>
                <c:pt idx="85">
                  <c:v>91.666666666666671</c:v>
                </c:pt>
                <c:pt idx="86">
                  <c:v>87.5</c:v>
                </c:pt>
                <c:pt idx="87">
                  <c:v>72.972972972972968</c:v>
                </c:pt>
                <c:pt idx="88">
                  <c:v>76.744186046511629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953408"/>
        <c:axId val="288955136"/>
      </c:scatterChart>
      <c:valAx>
        <c:axId val="2889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 [m]</a:t>
                </a:r>
              </a:p>
            </c:rich>
          </c:tx>
          <c:layout>
            <c:manualLayout>
              <c:xMode val="edge"/>
              <c:yMode val="edge"/>
              <c:x val="0.38958333333333334"/>
              <c:y val="0.942664418212478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8955136"/>
        <c:crosses val="autoZero"/>
        <c:crossBetween val="midCat"/>
      </c:valAx>
      <c:valAx>
        <c:axId val="288955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 / d</a:t>
                </a:r>
              </a:p>
            </c:rich>
          </c:tx>
          <c:layout>
            <c:manualLayout>
              <c:xMode val="edge"/>
              <c:yMode val="edge"/>
              <c:x val="1.1458333333333333E-2"/>
              <c:y val="0.440134907251264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895340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5520833333333335"/>
          <c:y val="0.40134907251264756"/>
          <c:w val="0.99479166666666674"/>
          <c:h val="0.615514333895446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6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Pinus sylvestris</a:t>
            </a:r>
            <a:r>
              <a:rPr lang="de-DE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: height-foliage-relationship, data from Burger (1948)</a:t>
            </a:r>
          </a:p>
        </c:rich>
      </c:tx>
      <c:layout>
        <c:manualLayout>
          <c:xMode val="edge"/>
          <c:yMode val="edge"/>
          <c:x val="9.8958333333333329E-2"/>
          <c:y val="7.25126475548060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958333333333334E-2"/>
          <c:y val="5.9021922428330521E-2"/>
          <c:w val="0.90312499999999996"/>
          <c:h val="0.80775716694772348"/>
        </c:manualLayout>
      </c:layout>
      <c:scatterChart>
        <c:scatterStyle val="lineMarker"/>
        <c:varyColors val="0"/>
        <c:ser>
          <c:idx val="1"/>
          <c:order val="0"/>
          <c:tx>
            <c:v>dominated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'Tab. 10cop'!$W$6:$W$48</c:f>
              <c:numCache>
                <c:formatCode>General</c:formatCode>
                <c:ptCount val="43"/>
                <c:pt idx="0">
                  <c:v>0.9</c:v>
                </c:pt>
                <c:pt idx="1">
                  <c:v>0.75</c:v>
                </c:pt>
                <c:pt idx="2">
                  <c:v>1.4</c:v>
                </c:pt>
                <c:pt idx="3">
                  <c:v>0.99</c:v>
                </c:pt>
                <c:pt idx="4">
                  <c:v>0.21</c:v>
                </c:pt>
                <c:pt idx="5">
                  <c:v>1</c:v>
                </c:pt>
                <c:pt idx="6">
                  <c:v>0.6</c:v>
                </c:pt>
                <c:pt idx="7">
                  <c:v>1.1000000000000001</c:v>
                </c:pt>
                <c:pt idx="8">
                  <c:v>0.9</c:v>
                </c:pt>
                <c:pt idx="9">
                  <c:v>2.0699999999999998</c:v>
                </c:pt>
                <c:pt idx="10">
                  <c:v>1.18</c:v>
                </c:pt>
                <c:pt idx="11">
                  <c:v>0.38</c:v>
                </c:pt>
                <c:pt idx="12">
                  <c:v>0.45</c:v>
                </c:pt>
                <c:pt idx="13">
                  <c:v>0.4</c:v>
                </c:pt>
                <c:pt idx="14">
                  <c:v>1.5</c:v>
                </c:pt>
                <c:pt idx="15">
                  <c:v>0.5</c:v>
                </c:pt>
                <c:pt idx="16">
                  <c:v>3.7</c:v>
                </c:pt>
                <c:pt idx="17">
                  <c:v>0.34</c:v>
                </c:pt>
                <c:pt idx="18">
                  <c:v>0.56000000000000005</c:v>
                </c:pt>
                <c:pt idx="19">
                  <c:v>0.59</c:v>
                </c:pt>
                <c:pt idx="20">
                  <c:v>2.13</c:v>
                </c:pt>
                <c:pt idx="21">
                  <c:v>1.61</c:v>
                </c:pt>
                <c:pt idx="22">
                  <c:v>0.33</c:v>
                </c:pt>
                <c:pt idx="23">
                  <c:v>0.42</c:v>
                </c:pt>
                <c:pt idx="24">
                  <c:v>0.47</c:v>
                </c:pt>
                <c:pt idx="25">
                  <c:v>0.56000000000000005</c:v>
                </c:pt>
                <c:pt idx="26">
                  <c:v>1.3</c:v>
                </c:pt>
                <c:pt idx="27">
                  <c:v>1.3</c:v>
                </c:pt>
                <c:pt idx="28">
                  <c:v>2.8</c:v>
                </c:pt>
                <c:pt idx="29">
                  <c:v>4.2</c:v>
                </c:pt>
                <c:pt idx="30">
                  <c:v>2.8</c:v>
                </c:pt>
                <c:pt idx="31">
                  <c:v>1.49</c:v>
                </c:pt>
                <c:pt idx="32">
                  <c:v>0.93</c:v>
                </c:pt>
                <c:pt idx="33">
                  <c:v>1.57</c:v>
                </c:pt>
                <c:pt idx="34">
                  <c:v>1.34</c:v>
                </c:pt>
                <c:pt idx="35">
                  <c:v>1.02</c:v>
                </c:pt>
                <c:pt idx="36">
                  <c:v>0.9</c:v>
                </c:pt>
                <c:pt idx="37">
                  <c:v>0.62</c:v>
                </c:pt>
                <c:pt idx="38">
                  <c:v>0.64</c:v>
                </c:pt>
                <c:pt idx="39">
                  <c:v>1.4</c:v>
                </c:pt>
                <c:pt idx="40">
                  <c:v>1.7</c:v>
                </c:pt>
                <c:pt idx="41">
                  <c:v>1.4</c:v>
                </c:pt>
                <c:pt idx="42">
                  <c:v>2.2000000000000002</c:v>
                </c:pt>
              </c:numCache>
            </c:numRef>
          </c:xVal>
          <c:yVal>
            <c:numRef>
              <c:f>'Tab. 10cop'!$E$6:$E$48</c:f>
              <c:numCache>
                <c:formatCode>General</c:formatCode>
                <c:ptCount val="43"/>
                <c:pt idx="0">
                  <c:v>9</c:v>
                </c:pt>
                <c:pt idx="1">
                  <c:v>5.8</c:v>
                </c:pt>
                <c:pt idx="2">
                  <c:v>6.6</c:v>
                </c:pt>
                <c:pt idx="3">
                  <c:v>5.9</c:v>
                </c:pt>
                <c:pt idx="4">
                  <c:v>8.4</c:v>
                </c:pt>
                <c:pt idx="5">
                  <c:v>8</c:v>
                </c:pt>
                <c:pt idx="6">
                  <c:v>11</c:v>
                </c:pt>
                <c:pt idx="7">
                  <c:v>5</c:v>
                </c:pt>
                <c:pt idx="8">
                  <c:v>5</c:v>
                </c:pt>
                <c:pt idx="9">
                  <c:v>6.8</c:v>
                </c:pt>
                <c:pt idx="10">
                  <c:v>6.1</c:v>
                </c:pt>
                <c:pt idx="11">
                  <c:v>4.5</c:v>
                </c:pt>
                <c:pt idx="12">
                  <c:v>5.8</c:v>
                </c:pt>
                <c:pt idx="13">
                  <c:v>7</c:v>
                </c:pt>
                <c:pt idx="14">
                  <c:v>11</c:v>
                </c:pt>
                <c:pt idx="15">
                  <c:v>11</c:v>
                </c:pt>
                <c:pt idx="16">
                  <c:v>21</c:v>
                </c:pt>
                <c:pt idx="17">
                  <c:v>2.8</c:v>
                </c:pt>
                <c:pt idx="18">
                  <c:v>8</c:v>
                </c:pt>
                <c:pt idx="19">
                  <c:v>5.4</c:v>
                </c:pt>
                <c:pt idx="20">
                  <c:v>6.8</c:v>
                </c:pt>
                <c:pt idx="21">
                  <c:v>8.6</c:v>
                </c:pt>
                <c:pt idx="22">
                  <c:v>6.4</c:v>
                </c:pt>
                <c:pt idx="23">
                  <c:v>9.4</c:v>
                </c:pt>
                <c:pt idx="24">
                  <c:v>11</c:v>
                </c:pt>
                <c:pt idx="25">
                  <c:v>11.8</c:v>
                </c:pt>
                <c:pt idx="26">
                  <c:v>15</c:v>
                </c:pt>
                <c:pt idx="27">
                  <c:v>15</c:v>
                </c:pt>
                <c:pt idx="28">
                  <c:v>25</c:v>
                </c:pt>
                <c:pt idx="29">
                  <c:v>28</c:v>
                </c:pt>
                <c:pt idx="30">
                  <c:v>27</c:v>
                </c:pt>
                <c:pt idx="31">
                  <c:v>7.6</c:v>
                </c:pt>
                <c:pt idx="32">
                  <c:v>7.2</c:v>
                </c:pt>
                <c:pt idx="33">
                  <c:v>8.5</c:v>
                </c:pt>
                <c:pt idx="34">
                  <c:v>7.9</c:v>
                </c:pt>
                <c:pt idx="35">
                  <c:v>7.8</c:v>
                </c:pt>
                <c:pt idx="36">
                  <c:v>9.1</c:v>
                </c:pt>
                <c:pt idx="37">
                  <c:v>9</c:v>
                </c:pt>
                <c:pt idx="38">
                  <c:v>13.4</c:v>
                </c:pt>
                <c:pt idx="39">
                  <c:v>9</c:v>
                </c:pt>
                <c:pt idx="40">
                  <c:v>11</c:v>
                </c:pt>
                <c:pt idx="41">
                  <c:v>15</c:v>
                </c:pt>
                <c:pt idx="42">
                  <c:v>21</c:v>
                </c:pt>
              </c:numCache>
            </c:numRef>
          </c:yVal>
          <c:smooth val="0"/>
        </c:ser>
        <c:ser>
          <c:idx val="0"/>
          <c:order val="1"/>
          <c:tx>
            <c:v>co-dominant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'Tab. 10cop'!$W$138:$W$215</c:f>
              <c:numCache>
                <c:formatCode>General</c:formatCode>
                <c:ptCount val="78"/>
                <c:pt idx="0">
                  <c:v>0.6</c:v>
                </c:pt>
                <c:pt idx="1">
                  <c:v>0.6</c:v>
                </c:pt>
                <c:pt idx="2">
                  <c:v>1.67</c:v>
                </c:pt>
                <c:pt idx="3">
                  <c:v>2.54</c:v>
                </c:pt>
                <c:pt idx="4">
                  <c:v>2.3199999999999998</c:v>
                </c:pt>
                <c:pt idx="5">
                  <c:v>1.8</c:v>
                </c:pt>
                <c:pt idx="6">
                  <c:v>2.34</c:v>
                </c:pt>
                <c:pt idx="7">
                  <c:v>2.2000000000000002</c:v>
                </c:pt>
                <c:pt idx="8">
                  <c:v>0.71</c:v>
                </c:pt>
                <c:pt idx="9">
                  <c:v>2.4300000000000002</c:v>
                </c:pt>
                <c:pt idx="10">
                  <c:v>1.45</c:v>
                </c:pt>
                <c:pt idx="11">
                  <c:v>1.03</c:v>
                </c:pt>
                <c:pt idx="12">
                  <c:v>1.52</c:v>
                </c:pt>
                <c:pt idx="13">
                  <c:v>1.6</c:v>
                </c:pt>
                <c:pt idx="14">
                  <c:v>1.5</c:v>
                </c:pt>
                <c:pt idx="15">
                  <c:v>5.2</c:v>
                </c:pt>
                <c:pt idx="16">
                  <c:v>5.6</c:v>
                </c:pt>
                <c:pt idx="17">
                  <c:v>1.46</c:v>
                </c:pt>
                <c:pt idx="18">
                  <c:v>1.28</c:v>
                </c:pt>
                <c:pt idx="19">
                  <c:v>2.1</c:v>
                </c:pt>
                <c:pt idx="20">
                  <c:v>1.74</c:v>
                </c:pt>
                <c:pt idx="21">
                  <c:v>1.1599999999999999</c:v>
                </c:pt>
                <c:pt idx="22">
                  <c:v>1.1200000000000001</c:v>
                </c:pt>
                <c:pt idx="23">
                  <c:v>2.57</c:v>
                </c:pt>
                <c:pt idx="24">
                  <c:v>6.52</c:v>
                </c:pt>
                <c:pt idx="25">
                  <c:v>1.91</c:v>
                </c:pt>
                <c:pt idx="26">
                  <c:v>1.96</c:v>
                </c:pt>
                <c:pt idx="27">
                  <c:v>1.82</c:v>
                </c:pt>
                <c:pt idx="28">
                  <c:v>2.06</c:v>
                </c:pt>
                <c:pt idx="29">
                  <c:v>1.94</c:v>
                </c:pt>
                <c:pt idx="30">
                  <c:v>0.75</c:v>
                </c:pt>
                <c:pt idx="31">
                  <c:v>1.5</c:v>
                </c:pt>
                <c:pt idx="32">
                  <c:v>1.6</c:v>
                </c:pt>
                <c:pt idx="33">
                  <c:v>2.4</c:v>
                </c:pt>
                <c:pt idx="34">
                  <c:v>1.9</c:v>
                </c:pt>
                <c:pt idx="35">
                  <c:v>1.7</c:v>
                </c:pt>
                <c:pt idx="36">
                  <c:v>1.2</c:v>
                </c:pt>
                <c:pt idx="37">
                  <c:v>1.4</c:v>
                </c:pt>
                <c:pt idx="38">
                  <c:v>1.4</c:v>
                </c:pt>
                <c:pt idx="39">
                  <c:v>1.2</c:v>
                </c:pt>
                <c:pt idx="40">
                  <c:v>1.5</c:v>
                </c:pt>
                <c:pt idx="41">
                  <c:v>4.5</c:v>
                </c:pt>
                <c:pt idx="42">
                  <c:v>4.8</c:v>
                </c:pt>
                <c:pt idx="43">
                  <c:v>5.0999999999999996</c:v>
                </c:pt>
                <c:pt idx="44">
                  <c:v>2.9</c:v>
                </c:pt>
                <c:pt idx="45">
                  <c:v>4.5999999999999996</c:v>
                </c:pt>
                <c:pt idx="46">
                  <c:v>5.5</c:v>
                </c:pt>
                <c:pt idx="47">
                  <c:v>5.9</c:v>
                </c:pt>
                <c:pt idx="48">
                  <c:v>11.7</c:v>
                </c:pt>
                <c:pt idx="49">
                  <c:v>11.3</c:v>
                </c:pt>
                <c:pt idx="50">
                  <c:v>10.9</c:v>
                </c:pt>
                <c:pt idx="51">
                  <c:v>13.2</c:v>
                </c:pt>
                <c:pt idx="52">
                  <c:v>1.1000000000000001</c:v>
                </c:pt>
                <c:pt idx="53">
                  <c:v>2.1</c:v>
                </c:pt>
                <c:pt idx="54">
                  <c:v>4.1100000000000003</c:v>
                </c:pt>
                <c:pt idx="55">
                  <c:v>1.1100000000000001</c:v>
                </c:pt>
                <c:pt idx="56">
                  <c:v>3.2</c:v>
                </c:pt>
                <c:pt idx="57">
                  <c:v>2.7</c:v>
                </c:pt>
                <c:pt idx="58">
                  <c:v>2.4</c:v>
                </c:pt>
                <c:pt idx="59">
                  <c:v>1.3</c:v>
                </c:pt>
                <c:pt idx="60">
                  <c:v>2.1</c:v>
                </c:pt>
                <c:pt idx="61">
                  <c:v>0.6</c:v>
                </c:pt>
                <c:pt idx="62">
                  <c:v>2.1</c:v>
                </c:pt>
                <c:pt idx="63">
                  <c:v>3.3</c:v>
                </c:pt>
                <c:pt idx="64">
                  <c:v>5.5</c:v>
                </c:pt>
                <c:pt idx="65">
                  <c:v>1.7</c:v>
                </c:pt>
                <c:pt idx="66">
                  <c:v>1.47</c:v>
                </c:pt>
                <c:pt idx="67">
                  <c:v>2.15</c:v>
                </c:pt>
                <c:pt idx="68">
                  <c:v>11.7</c:v>
                </c:pt>
                <c:pt idx="69">
                  <c:v>1.99</c:v>
                </c:pt>
                <c:pt idx="70">
                  <c:v>2.8</c:v>
                </c:pt>
                <c:pt idx="71">
                  <c:v>1.6</c:v>
                </c:pt>
                <c:pt idx="72">
                  <c:v>5.5</c:v>
                </c:pt>
                <c:pt idx="73">
                  <c:v>6</c:v>
                </c:pt>
                <c:pt idx="74">
                  <c:v>11.5</c:v>
                </c:pt>
                <c:pt idx="75">
                  <c:v>0.3</c:v>
                </c:pt>
                <c:pt idx="76">
                  <c:v>0.21</c:v>
                </c:pt>
                <c:pt idx="77">
                  <c:v>1.5</c:v>
                </c:pt>
              </c:numCache>
            </c:numRef>
          </c:xVal>
          <c:yVal>
            <c:numRef>
              <c:f>'Tab. 10cop'!$E$138:$E$215</c:f>
              <c:numCache>
                <c:formatCode>General</c:formatCode>
                <c:ptCount val="78"/>
                <c:pt idx="0">
                  <c:v>7.1</c:v>
                </c:pt>
                <c:pt idx="1">
                  <c:v>8.1</c:v>
                </c:pt>
                <c:pt idx="2">
                  <c:v>7</c:v>
                </c:pt>
                <c:pt idx="3">
                  <c:v>7</c:v>
                </c:pt>
                <c:pt idx="4">
                  <c:v>7.7</c:v>
                </c:pt>
                <c:pt idx="5">
                  <c:v>7.6</c:v>
                </c:pt>
                <c:pt idx="6">
                  <c:v>7.4</c:v>
                </c:pt>
                <c:pt idx="7">
                  <c:v>7.5</c:v>
                </c:pt>
                <c:pt idx="8">
                  <c:v>6.6</c:v>
                </c:pt>
                <c:pt idx="9">
                  <c:v>8.6</c:v>
                </c:pt>
                <c:pt idx="10">
                  <c:v>9</c:v>
                </c:pt>
                <c:pt idx="11">
                  <c:v>11.2</c:v>
                </c:pt>
                <c:pt idx="12">
                  <c:v>13.6</c:v>
                </c:pt>
                <c:pt idx="13">
                  <c:v>9</c:v>
                </c:pt>
                <c:pt idx="14">
                  <c:v>17</c:v>
                </c:pt>
                <c:pt idx="15">
                  <c:v>21</c:v>
                </c:pt>
                <c:pt idx="16">
                  <c:v>32</c:v>
                </c:pt>
                <c:pt idx="17">
                  <c:v>8.1999999999999993</c:v>
                </c:pt>
                <c:pt idx="18">
                  <c:v>8.1</c:v>
                </c:pt>
                <c:pt idx="19">
                  <c:v>7.8</c:v>
                </c:pt>
                <c:pt idx="20">
                  <c:v>8.6</c:v>
                </c:pt>
                <c:pt idx="21">
                  <c:v>6.3</c:v>
                </c:pt>
                <c:pt idx="22">
                  <c:v>7</c:v>
                </c:pt>
                <c:pt idx="23">
                  <c:v>8.8000000000000007</c:v>
                </c:pt>
                <c:pt idx="24">
                  <c:v>9</c:v>
                </c:pt>
                <c:pt idx="25">
                  <c:v>11.6</c:v>
                </c:pt>
                <c:pt idx="26">
                  <c:v>10.8</c:v>
                </c:pt>
                <c:pt idx="27">
                  <c:v>9.6</c:v>
                </c:pt>
                <c:pt idx="28">
                  <c:v>12.4</c:v>
                </c:pt>
                <c:pt idx="29">
                  <c:v>9.8000000000000007</c:v>
                </c:pt>
                <c:pt idx="30">
                  <c:v>10.199999999999999</c:v>
                </c:pt>
                <c:pt idx="31">
                  <c:v>15</c:v>
                </c:pt>
                <c:pt idx="32">
                  <c:v>10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12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24</c:v>
                </c:pt>
                <c:pt idx="43">
                  <c:v>17</c:v>
                </c:pt>
                <c:pt idx="44">
                  <c:v>27</c:v>
                </c:pt>
                <c:pt idx="45">
                  <c:v>21</c:v>
                </c:pt>
                <c:pt idx="46">
                  <c:v>28</c:v>
                </c:pt>
                <c:pt idx="47">
                  <c:v>27</c:v>
                </c:pt>
                <c:pt idx="48">
                  <c:v>20</c:v>
                </c:pt>
                <c:pt idx="49">
                  <c:v>30</c:v>
                </c:pt>
                <c:pt idx="50">
                  <c:v>29</c:v>
                </c:pt>
                <c:pt idx="51">
                  <c:v>32</c:v>
                </c:pt>
                <c:pt idx="52">
                  <c:v>8.5</c:v>
                </c:pt>
                <c:pt idx="53">
                  <c:v>7</c:v>
                </c:pt>
                <c:pt idx="54">
                  <c:v>9.4</c:v>
                </c:pt>
                <c:pt idx="55">
                  <c:v>12</c:v>
                </c:pt>
                <c:pt idx="56">
                  <c:v>10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5</c:v>
                </c:pt>
                <c:pt idx="62">
                  <c:v>5</c:v>
                </c:pt>
                <c:pt idx="63">
                  <c:v>21</c:v>
                </c:pt>
                <c:pt idx="64">
                  <c:v>26</c:v>
                </c:pt>
                <c:pt idx="65">
                  <c:v>26</c:v>
                </c:pt>
                <c:pt idx="66">
                  <c:v>6.2</c:v>
                </c:pt>
                <c:pt idx="67">
                  <c:v>14.2</c:v>
                </c:pt>
                <c:pt idx="68">
                  <c:v>32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29</c:v>
                </c:pt>
                <c:pt idx="73">
                  <c:v>27</c:v>
                </c:pt>
                <c:pt idx="74">
                  <c:v>30</c:v>
                </c:pt>
                <c:pt idx="75">
                  <c:v>5.6</c:v>
                </c:pt>
                <c:pt idx="76">
                  <c:v>8</c:v>
                </c:pt>
                <c:pt idx="77">
                  <c:v>21</c:v>
                </c:pt>
              </c:numCache>
            </c:numRef>
          </c:yVal>
          <c:smooth val="0"/>
        </c:ser>
        <c:ser>
          <c:idx val="2"/>
          <c:order val="2"/>
          <c:tx>
            <c:v>dominant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'Tab. 10cop'!$W$49:$W$137</c:f>
              <c:numCache>
                <c:formatCode>General</c:formatCode>
                <c:ptCount val="89"/>
                <c:pt idx="0">
                  <c:v>4.4800000000000004</c:v>
                </c:pt>
                <c:pt idx="1">
                  <c:v>3.5</c:v>
                </c:pt>
                <c:pt idx="2">
                  <c:v>4.2</c:v>
                </c:pt>
                <c:pt idx="3">
                  <c:v>15.6</c:v>
                </c:pt>
                <c:pt idx="4">
                  <c:v>19.100000000000001</c:v>
                </c:pt>
                <c:pt idx="5">
                  <c:v>2.5499999999999998</c:v>
                </c:pt>
                <c:pt idx="6">
                  <c:v>5.01</c:v>
                </c:pt>
                <c:pt idx="7">
                  <c:v>7.73</c:v>
                </c:pt>
                <c:pt idx="8">
                  <c:v>2.92</c:v>
                </c:pt>
                <c:pt idx="9">
                  <c:v>6.6</c:v>
                </c:pt>
                <c:pt idx="10">
                  <c:v>6.6</c:v>
                </c:pt>
                <c:pt idx="11">
                  <c:v>4</c:v>
                </c:pt>
                <c:pt idx="12">
                  <c:v>3.9</c:v>
                </c:pt>
                <c:pt idx="13">
                  <c:v>1.8</c:v>
                </c:pt>
                <c:pt idx="14">
                  <c:v>1.7</c:v>
                </c:pt>
                <c:pt idx="15">
                  <c:v>3.4</c:v>
                </c:pt>
                <c:pt idx="16">
                  <c:v>14.3</c:v>
                </c:pt>
                <c:pt idx="17">
                  <c:v>3.6</c:v>
                </c:pt>
                <c:pt idx="18">
                  <c:v>1.8</c:v>
                </c:pt>
                <c:pt idx="19">
                  <c:v>4.5</c:v>
                </c:pt>
                <c:pt idx="20">
                  <c:v>5.6</c:v>
                </c:pt>
                <c:pt idx="21">
                  <c:v>4.0999999999999996</c:v>
                </c:pt>
                <c:pt idx="22">
                  <c:v>0.94</c:v>
                </c:pt>
                <c:pt idx="23">
                  <c:v>0.98</c:v>
                </c:pt>
                <c:pt idx="24">
                  <c:v>4.1500000000000004</c:v>
                </c:pt>
                <c:pt idx="25">
                  <c:v>4.3</c:v>
                </c:pt>
                <c:pt idx="26">
                  <c:v>2.2000000000000002</c:v>
                </c:pt>
                <c:pt idx="27">
                  <c:v>1.7</c:v>
                </c:pt>
                <c:pt idx="28">
                  <c:v>23.3</c:v>
                </c:pt>
                <c:pt idx="29">
                  <c:v>4.5999999999999996</c:v>
                </c:pt>
                <c:pt idx="30">
                  <c:v>9.3000000000000007</c:v>
                </c:pt>
                <c:pt idx="31">
                  <c:v>6.03</c:v>
                </c:pt>
                <c:pt idx="32">
                  <c:v>1.43</c:v>
                </c:pt>
                <c:pt idx="33">
                  <c:v>0.82</c:v>
                </c:pt>
                <c:pt idx="34">
                  <c:v>2.2400000000000002</c:v>
                </c:pt>
                <c:pt idx="35">
                  <c:v>2.0499999999999998</c:v>
                </c:pt>
                <c:pt idx="36">
                  <c:v>4.38</c:v>
                </c:pt>
                <c:pt idx="37">
                  <c:v>3.86</c:v>
                </c:pt>
                <c:pt idx="38">
                  <c:v>4.95</c:v>
                </c:pt>
                <c:pt idx="39">
                  <c:v>3.42</c:v>
                </c:pt>
                <c:pt idx="40">
                  <c:v>1.54</c:v>
                </c:pt>
                <c:pt idx="41">
                  <c:v>1.69</c:v>
                </c:pt>
                <c:pt idx="42">
                  <c:v>2.34</c:v>
                </c:pt>
                <c:pt idx="43">
                  <c:v>2.79</c:v>
                </c:pt>
                <c:pt idx="44">
                  <c:v>4.4400000000000004</c:v>
                </c:pt>
                <c:pt idx="45">
                  <c:v>6.6</c:v>
                </c:pt>
                <c:pt idx="46">
                  <c:v>6.9</c:v>
                </c:pt>
                <c:pt idx="47">
                  <c:v>3.6</c:v>
                </c:pt>
                <c:pt idx="48">
                  <c:v>3.4</c:v>
                </c:pt>
                <c:pt idx="49">
                  <c:v>3.8</c:v>
                </c:pt>
                <c:pt idx="50">
                  <c:v>3.2</c:v>
                </c:pt>
                <c:pt idx="51">
                  <c:v>2.1</c:v>
                </c:pt>
                <c:pt idx="52">
                  <c:v>2.1</c:v>
                </c:pt>
                <c:pt idx="53">
                  <c:v>6.1</c:v>
                </c:pt>
                <c:pt idx="54">
                  <c:v>8</c:v>
                </c:pt>
                <c:pt idx="55">
                  <c:v>17.399999999999999</c:v>
                </c:pt>
                <c:pt idx="56">
                  <c:v>6.3</c:v>
                </c:pt>
                <c:pt idx="57">
                  <c:v>8.5</c:v>
                </c:pt>
                <c:pt idx="58">
                  <c:v>17.7</c:v>
                </c:pt>
                <c:pt idx="59">
                  <c:v>9.4</c:v>
                </c:pt>
                <c:pt idx="60">
                  <c:v>11.9</c:v>
                </c:pt>
                <c:pt idx="61">
                  <c:v>30.1</c:v>
                </c:pt>
                <c:pt idx="62">
                  <c:v>14.8</c:v>
                </c:pt>
                <c:pt idx="63">
                  <c:v>16.399999999999999</c:v>
                </c:pt>
                <c:pt idx="64">
                  <c:v>8.6999999999999993</c:v>
                </c:pt>
                <c:pt idx="65">
                  <c:v>15.2</c:v>
                </c:pt>
                <c:pt idx="66">
                  <c:v>26.1</c:v>
                </c:pt>
                <c:pt idx="67">
                  <c:v>15.8</c:v>
                </c:pt>
                <c:pt idx="68">
                  <c:v>1.88</c:v>
                </c:pt>
                <c:pt idx="69">
                  <c:v>1.42</c:v>
                </c:pt>
                <c:pt idx="70">
                  <c:v>3.37</c:v>
                </c:pt>
                <c:pt idx="71">
                  <c:v>3.48</c:v>
                </c:pt>
                <c:pt idx="72">
                  <c:v>2.61</c:v>
                </c:pt>
                <c:pt idx="73">
                  <c:v>2.98</c:v>
                </c:pt>
                <c:pt idx="74">
                  <c:v>4.82</c:v>
                </c:pt>
                <c:pt idx="75">
                  <c:v>1.94</c:v>
                </c:pt>
                <c:pt idx="76">
                  <c:v>3.02</c:v>
                </c:pt>
                <c:pt idx="77">
                  <c:v>2.58</c:v>
                </c:pt>
                <c:pt idx="78">
                  <c:v>3.6</c:v>
                </c:pt>
                <c:pt idx="79">
                  <c:v>6.9</c:v>
                </c:pt>
                <c:pt idx="80">
                  <c:v>9</c:v>
                </c:pt>
                <c:pt idx="81">
                  <c:v>3.4</c:v>
                </c:pt>
                <c:pt idx="82">
                  <c:v>5.4</c:v>
                </c:pt>
                <c:pt idx="83">
                  <c:v>6.5</c:v>
                </c:pt>
                <c:pt idx="84">
                  <c:v>6.3</c:v>
                </c:pt>
                <c:pt idx="85">
                  <c:v>8.9</c:v>
                </c:pt>
                <c:pt idx="86">
                  <c:v>6.8</c:v>
                </c:pt>
                <c:pt idx="87">
                  <c:v>17.399999999999999</c:v>
                </c:pt>
                <c:pt idx="88">
                  <c:v>16.7</c:v>
                </c:pt>
              </c:numCache>
            </c:numRef>
          </c:xVal>
          <c:yVal>
            <c:numRef>
              <c:f>'Tab. 10cop'!$E$49:$E$137</c:f>
              <c:numCache>
                <c:formatCode>General</c:formatCode>
                <c:ptCount val="89"/>
                <c:pt idx="0">
                  <c:v>7.2</c:v>
                </c:pt>
                <c:pt idx="1">
                  <c:v>11</c:v>
                </c:pt>
                <c:pt idx="2">
                  <c:v>18</c:v>
                </c:pt>
                <c:pt idx="3">
                  <c:v>24</c:v>
                </c:pt>
                <c:pt idx="4">
                  <c:v>25</c:v>
                </c:pt>
                <c:pt idx="5">
                  <c:v>6.9</c:v>
                </c:pt>
                <c:pt idx="6">
                  <c:v>7.8</c:v>
                </c:pt>
                <c:pt idx="7">
                  <c:v>8.5</c:v>
                </c:pt>
                <c:pt idx="8">
                  <c:v>7.7</c:v>
                </c:pt>
                <c:pt idx="9">
                  <c:v>10</c:v>
                </c:pt>
                <c:pt idx="10">
                  <c:v>13</c:v>
                </c:pt>
                <c:pt idx="11">
                  <c:v>18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31</c:v>
                </c:pt>
                <c:pt idx="17">
                  <c:v>11</c:v>
                </c:pt>
                <c:pt idx="18">
                  <c:v>6</c:v>
                </c:pt>
                <c:pt idx="19">
                  <c:v>7</c:v>
                </c:pt>
                <c:pt idx="20">
                  <c:v>25</c:v>
                </c:pt>
                <c:pt idx="21">
                  <c:v>21</c:v>
                </c:pt>
                <c:pt idx="22">
                  <c:v>3.1</c:v>
                </c:pt>
                <c:pt idx="23">
                  <c:v>8.8000000000000007</c:v>
                </c:pt>
                <c:pt idx="24">
                  <c:v>8.3000000000000007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22</c:v>
                </c:pt>
                <c:pt idx="29">
                  <c:v>22</c:v>
                </c:pt>
                <c:pt idx="30">
                  <c:v>33</c:v>
                </c:pt>
                <c:pt idx="31">
                  <c:v>7.4</c:v>
                </c:pt>
                <c:pt idx="32">
                  <c:v>8.6</c:v>
                </c:pt>
                <c:pt idx="33">
                  <c:v>7.3</c:v>
                </c:pt>
                <c:pt idx="34">
                  <c:v>8.6999999999999993</c:v>
                </c:pt>
                <c:pt idx="35">
                  <c:v>8.4</c:v>
                </c:pt>
                <c:pt idx="36">
                  <c:v>8</c:v>
                </c:pt>
                <c:pt idx="37">
                  <c:v>7.8</c:v>
                </c:pt>
                <c:pt idx="38">
                  <c:v>7.5</c:v>
                </c:pt>
                <c:pt idx="39">
                  <c:v>7.2</c:v>
                </c:pt>
                <c:pt idx="40">
                  <c:v>8.4</c:v>
                </c:pt>
                <c:pt idx="41">
                  <c:v>8.6</c:v>
                </c:pt>
                <c:pt idx="42">
                  <c:v>12.6</c:v>
                </c:pt>
                <c:pt idx="43">
                  <c:v>10.4</c:v>
                </c:pt>
                <c:pt idx="44">
                  <c:v>10.199999999999999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17</c:v>
                </c:pt>
                <c:pt idx="49">
                  <c:v>16</c:v>
                </c:pt>
                <c:pt idx="50">
                  <c:v>15</c:v>
                </c:pt>
                <c:pt idx="51">
                  <c:v>6</c:v>
                </c:pt>
                <c:pt idx="52">
                  <c:v>6</c:v>
                </c:pt>
                <c:pt idx="53">
                  <c:v>21</c:v>
                </c:pt>
                <c:pt idx="54">
                  <c:v>25</c:v>
                </c:pt>
                <c:pt idx="55">
                  <c:v>25</c:v>
                </c:pt>
                <c:pt idx="56">
                  <c:v>27</c:v>
                </c:pt>
                <c:pt idx="57">
                  <c:v>31</c:v>
                </c:pt>
                <c:pt idx="58">
                  <c:v>31</c:v>
                </c:pt>
                <c:pt idx="59">
                  <c:v>29</c:v>
                </c:pt>
                <c:pt idx="60">
                  <c:v>28</c:v>
                </c:pt>
                <c:pt idx="61">
                  <c:v>31</c:v>
                </c:pt>
                <c:pt idx="62">
                  <c:v>30</c:v>
                </c:pt>
                <c:pt idx="63">
                  <c:v>31</c:v>
                </c:pt>
                <c:pt idx="64">
                  <c:v>31</c:v>
                </c:pt>
                <c:pt idx="65">
                  <c:v>30</c:v>
                </c:pt>
                <c:pt idx="66">
                  <c:v>34</c:v>
                </c:pt>
                <c:pt idx="67">
                  <c:v>31</c:v>
                </c:pt>
                <c:pt idx="68">
                  <c:v>9.6</c:v>
                </c:pt>
                <c:pt idx="69">
                  <c:v>7.6</c:v>
                </c:pt>
                <c:pt idx="70">
                  <c:v>8.3000000000000007</c:v>
                </c:pt>
                <c:pt idx="71">
                  <c:v>8.6</c:v>
                </c:pt>
                <c:pt idx="72">
                  <c:v>9.4</c:v>
                </c:pt>
                <c:pt idx="73">
                  <c:v>9.3000000000000007</c:v>
                </c:pt>
                <c:pt idx="74">
                  <c:v>9.1999999999999993</c:v>
                </c:pt>
                <c:pt idx="75">
                  <c:v>11.6</c:v>
                </c:pt>
                <c:pt idx="76">
                  <c:v>12.6</c:v>
                </c:pt>
                <c:pt idx="77">
                  <c:v>14.6</c:v>
                </c:pt>
                <c:pt idx="78">
                  <c:v>13</c:v>
                </c:pt>
                <c:pt idx="79">
                  <c:v>14</c:v>
                </c:pt>
                <c:pt idx="80">
                  <c:v>13</c:v>
                </c:pt>
                <c:pt idx="81">
                  <c:v>13</c:v>
                </c:pt>
                <c:pt idx="82">
                  <c:v>17</c:v>
                </c:pt>
                <c:pt idx="83">
                  <c:v>18</c:v>
                </c:pt>
                <c:pt idx="84">
                  <c:v>18</c:v>
                </c:pt>
                <c:pt idx="85">
                  <c:v>22</c:v>
                </c:pt>
                <c:pt idx="86">
                  <c:v>28</c:v>
                </c:pt>
                <c:pt idx="87">
                  <c:v>27</c:v>
                </c:pt>
                <c:pt idx="88">
                  <c:v>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111488"/>
        <c:axId val="292112640"/>
      </c:scatterChart>
      <c:valAx>
        <c:axId val="29211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 [kg DM]</a:t>
                </a:r>
              </a:p>
            </c:rich>
          </c:tx>
          <c:layout>
            <c:manualLayout>
              <c:xMode val="edge"/>
              <c:yMode val="edge"/>
              <c:x val="0.47187499999999999"/>
              <c:y val="0.93760539629005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112640"/>
        <c:crosses val="autoZero"/>
        <c:crossBetween val="midCat"/>
      </c:valAx>
      <c:valAx>
        <c:axId val="29211264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 [m]</a:t>
                </a:r>
              </a:p>
            </c:rich>
          </c:tx>
          <c:layout>
            <c:manualLayout>
              <c:xMode val="edge"/>
              <c:yMode val="edge"/>
              <c:x val="0"/>
              <c:y val="0.413153456998313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11148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3229166666666667"/>
          <c:y val="0.54468802698145025"/>
          <c:w val="0.8979166666666667"/>
          <c:h val="0.698145025295109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48765906358344"/>
          <c:y val="9.4890680048685644E-2"/>
          <c:w val="0.84229538092129552"/>
          <c:h val="0.6532858357197973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'Burger_Tab. 10'!$D$6:$D$215</c:f>
              <c:numCache>
                <c:formatCode>General</c:formatCode>
                <c:ptCount val="210"/>
                <c:pt idx="0">
                  <c:v>2.6</c:v>
                </c:pt>
                <c:pt idx="1">
                  <c:v>3.3</c:v>
                </c:pt>
                <c:pt idx="2">
                  <c:v>13.8</c:v>
                </c:pt>
                <c:pt idx="3">
                  <c:v>4.8</c:v>
                </c:pt>
                <c:pt idx="4">
                  <c:v>8.1999999999999993</c:v>
                </c:pt>
                <c:pt idx="5">
                  <c:v>9.9</c:v>
                </c:pt>
                <c:pt idx="6">
                  <c:v>11.2</c:v>
                </c:pt>
                <c:pt idx="7">
                  <c:v>6</c:v>
                </c:pt>
                <c:pt idx="8">
                  <c:v>6.4</c:v>
                </c:pt>
                <c:pt idx="9">
                  <c:v>7.6</c:v>
                </c:pt>
                <c:pt idx="10">
                  <c:v>9</c:v>
                </c:pt>
                <c:pt idx="11">
                  <c:v>9</c:v>
                </c:pt>
                <c:pt idx="12">
                  <c:v>10.7</c:v>
                </c:pt>
                <c:pt idx="13">
                  <c:v>7.6</c:v>
                </c:pt>
                <c:pt idx="14">
                  <c:v>7.8</c:v>
                </c:pt>
                <c:pt idx="15">
                  <c:v>7.8</c:v>
                </c:pt>
                <c:pt idx="16">
                  <c:v>10.199999999999999</c:v>
                </c:pt>
                <c:pt idx="17">
                  <c:v>7.4</c:v>
                </c:pt>
                <c:pt idx="18">
                  <c:v>10.199999999999999</c:v>
                </c:pt>
                <c:pt idx="19">
                  <c:v>10.5</c:v>
                </c:pt>
                <c:pt idx="20">
                  <c:v>11.6</c:v>
                </c:pt>
                <c:pt idx="21">
                  <c:v>6.4</c:v>
                </c:pt>
                <c:pt idx="22">
                  <c:v>9.1</c:v>
                </c:pt>
                <c:pt idx="23">
                  <c:v>11</c:v>
                </c:pt>
                <c:pt idx="24">
                  <c:v>12</c:v>
                </c:pt>
                <c:pt idx="25">
                  <c:v>6.4</c:v>
                </c:pt>
                <c:pt idx="26">
                  <c:v>8</c:v>
                </c:pt>
                <c:pt idx="27">
                  <c:v>8.6999999999999993</c:v>
                </c:pt>
                <c:pt idx="28">
                  <c:v>11.4</c:v>
                </c:pt>
                <c:pt idx="29">
                  <c:v>6.8</c:v>
                </c:pt>
                <c:pt idx="30">
                  <c:v>7.7</c:v>
                </c:pt>
                <c:pt idx="31">
                  <c:v>9.6</c:v>
                </c:pt>
                <c:pt idx="32">
                  <c:v>12.2</c:v>
                </c:pt>
                <c:pt idx="33">
                  <c:v>5.2</c:v>
                </c:pt>
                <c:pt idx="34">
                  <c:v>7.4</c:v>
                </c:pt>
                <c:pt idx="35">
                  <c:v>8.1999999999999993</c:v>
                </c:pt>
                <c:pt idx="36">
                  <c:v>10.1</c:v>
                </c:pt>
                <c:pt idx="37">
                  <c:v>11.5</c:v>
                </c:pt>
                <c:pt idx="38">
                  <c:v>4.5999999999999996</c:v>
                </c:pt>
                <c:pt idx="39">
                  <c:v>5.5</c:v>
                </c:pt>
                <c:pt idx="40">
                  <c:v>7.2</c:v>
                </c:pt>
                <c:pt idx="41">
                  <c:v>8.1999999999999993</c:v>
                </c:pt>
                <c:pt idx="42">
                  <c:v>9.8000000000000007</c:v>
                </c:pt>
                <c:pt idx="43">
                  <c:v>7.3</c:v>
                </c:pt>
                <c:pt idx="44">
                  <c:v>9.1</c:v>
                </c:pt>
                <c:pt idx="45">
                  <c:v>9.8000000000000007</c:v>
                </c:pt>
                <c:pt idx="46">
                  <c:v>14.6</c:v>
                </c:pt>
                <c:pt idx="47">
                  <c:v>8.6999999999999993</c:v>
                </c:pt>
                <c:pt idx="48">
                  <c:v>8.8000000000000007</c:v>
                </c:pt>
                <c:pt idx="49">
                  <c:v>9.4</c:v>
                </c:pt>
                <c:pt idx="50">
                  <c:v>10.6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5.2</c:v>
                </c:pt>
                <c:pt idx="54">
                  <c:v>5.9</c:v>
                </c:pt>
                <c:pt idx="55">
                  <c:v>6.8</c:v>
                </c:pt>
                <c:pt idx="56">
                  <c:v>8</c:v>
                </c:pt>
                <c:pt idx="57">
                  <c:v>8.4</c:v>
                </c:pt>
                <c:pt idx="58">
                  <c:v>6.3</c:v>
                </c:pt>
                <c:pt idx="59">
                  <c:v>7.5</c:v>
                </c:pt>
                <c:pt idx="60">
                  <c:v>8</c:v>
                </c:pt>
                <c:pt idx="61">
                  <c:v>9.4</c:v>
                </c:pt>
                <c:pt idx="62">
                  <c:v>9.6</c:v>
                </c:pt>
                <c:pt idx="63">
                  <c:v>11.2</c:v>
                </c:pt>
                <c:pt idx="64">
                  <c:v>12.2</c:v>
                </c:pt>
                <c:pt idx="65">
                  <c:v>13.3</c:v>
                </c:pt>
                <c:pt idx="66">
                  <c:v>4.8</c:v>
                </c:pt>
                <c:pt idx="67">
                  <c:v>9.6</c:v>
                </c:pt>
                <c:pt idx="68">
                  <c:v>11.2</c:v>
                </c:pt>
                <c:pt idx="69">
                  <c:v>6.2</c:v>
                </c:pt>
                <c:pt idx="70">
                  <c:v>11</c:v>
                </c:pt>
                <c:pt idx="71">
                  <c:v>11.9</c:v>
                </c:pt>
                <c:pt idx="72">
                  <c:v>8.6</c:v>
                </c:pt>
                <c:pt idx="73">
                  <c:v>10.8</c:v>
                </c:pt>
                <c:pt idx="74">
                  <c:v>14.6</c:v>
                </c:pt>
                <c:pt idx="75">
                  <c:v>11.3</c:v>
                </c:pt>
                <c:pt idx="76">
                  <c:v>8.6</c:v>
                </c:pt>
                <c:pt idx="77">
                  <c:v>7.2</c:v>
                </c:pt>
                <c:pt idx="78">
                  <c:v>9</c:v>
                </c:pt>
                <c:pt idx="79">
                  <c:v>10.1</c:v>
                </c:pt>
                <c:pt idx="80">
                  <c:v>12.4</c:v>
                </c:pt>
                <c:pt idx="81">
                  <c:v>6.6</c:v>
                </c:pt>
                <c:pt idx="82">
                  <c:v>9.1999999999999993</c:v>
                </c:pt>
                <c:pt idx="83">
                  <c:v>10.8</c:v>
                </c:pt>
                <c:pt idx="84">
                  <c:v>12.2</c:v>
                </c:pt>
                <c:pt idx="85">
                  <c:v>15.8</c:v>
                </c:pt>
                <c:pt idx="86">
                  <c:v>6</c:v>
                </c:pt>
                <c:pt idx="87">
                  <c:v>9.8000000000000007</c:v>
                </c:pt>
                <c:pt idx="88">
                  <c:v>10</c:v>
                </c:pt>
                <c:pt idx="89">
                  <c:v>8.4</c:v>
                </c:pt>
                <c:pt idx="90">
                  <c:v>12.4</c:v>
                </c:pt>
                <c:pt idx="91">
                  <c:v>13.8</c:v>
                </c:pt>
                <c:pt idx="92">
                  <c:v>11.2</c:v>
                </c:pt>
                <c:pt idx="93">
                  <c:v>12.6</c:v>
                </c:pt>
                <c:pt idx="94">
                  <c:v>15.6</c:v>
                </c:pt>
                <c:pt idx="95">
                  <c:v>9</c:v>
                </c:pt>
                <c:pt idx="96">
                  <c:v>13</c:v>
                </c:pt>
                <c:pt idx="97">
                  <c:v>15</c:v>
                </c:pt>
                <c:pt idx="98">
                  <c:v>18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21</c:v>
                </c:pt>
                <c:pt idx="103">
                  <c:v>14</c:v>
                </c:pt>
                <c:pt idx="104">
                  <c:v>18</c:v>
                </c:pt>
                <c:pt idx="105">
                  <c:v>21</c:v>
                </c:pt>
                <c:pt idx="106">
                  <c:v>24</c:v>
                </c:pt>
                <c:pt idx="107">
                  <c:v>10</c:v>
                </c:pt>
                <c:pt idx="108">
                  <c:v>14</c:v>
                </c:pt>
                <c:pt idx="109">
                  <c:v>17</c:v>
                </c:pt>
                <c:pt idx="110">
                  <c:v>20</c:v>
                </c:pt>
                <c:pt idx="111">
                  <c:v>9</c:v>
                </c:pt>
                <c:pt idx="112">
                  <c:v>11</c:v>
                </c:pt>
                <c:pt idx="113">
                  <c:v>13</c:v>
                </c:pt>
                <c:pt idx="114">
                  <c:v>16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16</c:v>
                </c:pt>
                <c:pt idx="119">
                  <c:v>8</c:v>
                </c:pt>
                <c:pt idx="120">
                  <c:v>10</c:v>
                </c:pt>
                <c:pt idx="121">
                  <c:v>13</c:v>
                </c:pt>
                <c:pt idx="122">
                  <c:v>15</c:v>
                </c:pt>
                <c:pt idx="123">
                  <c:v>11</c:v>
                </c:pt>
                <c:pt idx="124">
                  <c:v>14</c:v>
                </c:pt>
                <c:pt idx="125">
                  <c:v>16</c:v>
                </c:pt>
                <c:pt idx="126">
                  <c:v>19</c:v>
                </c:pt>
                <c:pt idx="127">
                  <c:v>13</c:v>
                </c:pt>
                <c:pt idx="128">
                  <c:v>15</c:v>
                </c:pt>
                <c:pt idx="129">
                  <c:v>17</c:v>
                </c:pt>
                <c:pt idx="130">
                  <c:v>21</c:v>
                </c:pt>
                <c:pt idx="131">
                  <c:v>11</c:v>
                </c:pt>
                <c:pt idx="132">
                  <c:v>14</c:v>
                </c:pt>
                <c:pt idx="133">
                  <c:v>15</c:v>
                </c:pt>
                <c:pt idx="134">
                  <c:v>19</c:v>
                </c:pt>
                <c:pt idx="135">
                  <c:v>8</c:v>
                </c:pt>
                <c:pt idx="136">
                  <c:v>10</c:v>
                </c:pt>
                <c:pt idx="137">
                  <c:v>12</c:v>
                </c:pt>
                <c:pt idx="138">
                  <c:v>14</c:v>
                </c:pt>
                <c:pt idx="139">
                  <c:v>8</c:v>
                </c:pt>
                <c:pt idx="140">
                  <c:v>10</c:v>
                </c:pt>
                <c:pt idx="141">
                  <c:v>12</c:v>
                </c:pt>
                <c:pt idx="142">
                  <c:v>14</c:v>
                </c:pt>
                <c:pt idx="143">
                  <c:v>8</c:v>
                </c:pt>
                <c:pt idx="144">
                  <c:v>10</c:v>
                </c:pt>
                <c:pt idx="145">
                  <c:v>11</c:v>
                </c:pt>
                <c:pt idx="146">
                  <c:v>14</c:v>
                </c:pt>
                <c:pt idx="147">
                  <c:v>6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10</c:v>
                </c:pt>
                <c:pt idx="153">
                  <c:v>11</c:v>
                </c:pt>
                <c:pt idx="154">
                  <c:v>13</c:v>
                </c:pt>
                <c:pt idx="155">
                  <c:v>16</c:v>
                </c:pt>
                <c:pt idx="156">
                  <c:v>18</c:v>
                </c:pt>
                <c:pt idx="157">
                  <c:v>24</c:v>
                </c:pt>
                <c:pt idx="158">
                  <c:v>22</c:v>
                </c:pt>
                <c:pt idx="159">
                  <c:v>22</c:v>
                </c:pt>
                <c:pt idx="160">
                  <c:v>32</c:v>
                </c:pt>
                <c:pt idx="161">
                  <c:v>33</c:v>
                </c:pt>
                <c:pt idx="162">
                  <c:v>18</c:v>
                </c:pt>
                <c:pt idx="163">
                  <c:v>23</c:v>
                </c:pt>
                <c:pt idx="164">
                  <c:v>27</c:v>
                </c:pt>
                <c:pt idx="165">
                  <c:v>32</c:v>
                </c:pt>
                <c:pt idx="166">
                  <c:v>17</c:v>
                </c:pt>
                <c:pt idx="167">
                  <c:v>21</c:v>
                </c:pt>
                <c:pt idx="168">
                  <c:v>24</c:v>
                </c:pt>
                <c:pt idx="169">
                  <c:v>17</c:v>
                </c:pt>
                <c:pt idx="170">
                  <c:v>28</c:v>
                </c:pt>
                <c:pt idx="171">
                  <c:v>37</c:v>
                </c:pt>
                <c:pt idx="172">
                  <c:v>29</c:v>
                </c:pt>
                <c:pt idx="173">
                  <c:v>25</c:v>
                </c:pt>
                <c:pt idx="174">
                  <c:v>29</c:v>
                </c:pt>
                <c:pt idx="175">
                  <c:v>35</c:v>
                </c:pt>
                <c:pt idx="176">
                  <c:v>39</c:v>
                </c:pt>
                <c:pt idx="177">
                  <c:v>24</c:v>
                </c:pt>
                <c:pt idx="178">
                  <c:v>27</c:v>
                </c:pt>
                <c:pt idx="179">
                  <c:v>32</c:v>
                </c:pt>
                <c:pt idx="180">
                  <c:v>23</c:v>
                </c:pt>
                <c:pt idx="181">
                  <c:v>26</c:v>
                </c:pt>
                <c:pt idx="182">
                  <c:v>29</c:v>
                </c:pt>
                <c:pt idx="183">
                  <c:v>32</c:v>
                </c:pt>
                <c:pt idx="184">
                  <c:v>37</c:v>
                </c:pt>
                <c:pt idx="185">
                  <c:v>21</c:v>
                </c:pt>
                <c:pt idx="186">
                  <c:v>28</c:v>
                </c:pt>
                <c:pt idx="187">
                  <c:v>37</c:v>
                </c:pt>
                <c:pt idx="188">
                  <c:v>42</c:v>
                </c:pt>
                <c:pt idx="189">
                  <c:v>28</c:v>
                </c:pt>
                <c:pt idx="190">
                  <c:v>36</c:v>
                </c:pt>
                <c:pt idx="191">
                  <c:v>38</c:v>
                </c:pt>
                <c:pt idx="192">
                  <c:v>43</c:v>
                </c:pt>
                <c:pt idx="193">
                  <c:v>53</c:v>
                </c:pt>
                <c:pt idx="194">
                  <c:v>35</c:v>
                </c:pt>
                <c:pt idx="195">
                  <c:v>39</c:v>
                </c:pt>
                <c:pt idx="196">
                  <c:v>49</c:v>
                </c:pt>
                <c:pt idx="197">
                  <c:v>52</c:v>
                </c:pt>
                <c:pt idx="198">
                  <c:v>22</c:v>
                </c:pt>
                <c:pt idx="199">
                  <c:v>33</c:v>
                </c:pt>
                <c:pt idx="200">
                  <c:v>43</c:v>
                </c:pt>
                <c:pt idx="201">
                  <c:v>36</c:v>
                </c:pt>
                <c:pt idx="202">
                  <c:v>31</c:v>
                </c:pt>
                <c:pt idx="203">
                  <c:v>36</c:v>
                </c:pt>
                <c:pt idx="204">
                  <c:v>42</c:v>
                </c:pt>
                <c:pt idx="205">
                  <c:v>50</c:v>
                </c:pt>
                <c:pt idx="206">
                  <c:v>50</c:v>
                </c:pt>
                <c:pt idx="207">
                  <c:v>29</c:v>
                </c:pt>
                <c:pt idx="208">
                  <c:v>40</c:v>
                </c:pt>
                <c:pt idx="209">
                  <c:v>41</c:v>
                </c:pt>
              </c:numCache>
            </c:numRef>
          </c:xVal>
          <c:yVal>
            <c:numRef>
              <c:f>'Burger_Tab. 10'!$E$6:$E$215</c:f>
              <c:numCache>
                <c:formatCode>General</c:formatCode>
                <c:ptCount val="210"/>
                <c:pt idx="0">
                  <c:v>2.8</c:v>
                </c:pt>
                <c:pt idx="1">
                  <c:v>3.1</c:v>
                </c:pt>
                <c:pt idx="2">
                  <c:v>7.4</c:v>
                </c:pt>
                <c:pt idx="3">
                  <c:v>5.6</c:v>
                </c:pt>
                <c:pt idx="4">
                  <c:v>8.8000000000000007</c:v>
                </c:pt>
                <c:pt idx="5">
                  <c:v>8.6</c:v>
                </c:pt>
                <c:pt idx="6">
                  <c:v>9.6</c:v>
                </c:pt>
                <c:pt idx="7">
                  <c:v>7.1</c:v>
                </c:pt>
                <c:pt idx="8">
                  <c:v>8.1</c:v>
                </c:pt>
                <c:pt idx="9">
                  <c:v>7.3</c:v>
                </c:pt>
                <c:pt idx="10">
                  <c:v>8.1999999999999993</c:v>
                </c:pt>
                <c:pt idx="11">
                  <c:v>7.6</c:v>
                </c:pt>
                <c:pt idx="12">
                  <c:v>8.6999999999999993</c:v>
                </c:pt>
                <c:pt idx="13">
                  <c:v>6.9</c:v>
                </c:pt>
                <c:pt idx="14">
                  <c:v>6.8</c:v>
                </c:pt>
                <c:pt idx="15">
                  <c:v>7</c:v>
                </c:pt>
                <c:pt idx="16">
                  <c:v>7.8</c:v>
                </c:pt>
                <c:pt idx="17">
                  <c:v>8.1</c:v>
                </c:pt>
                <c:pt idx="18">
                  <c:v>8.3000000000000007</c:v>
                </c:pt>
                <c:pt idx="19">
                  <c:v>8.4</c:v>
                </c:pt>
                <c:pt idx="20">
                  <c:v>8</c:v>
                </c:pt>
                <c:pt idx="21">
                  <c:v>5.8</c:v>
                </c:pt>
                <c:pt idx="22">
                  <c:v>7</c:v>
                </c:pt>
                <c:pt idx="23">
                  <c:v>7.8</c:v>
                </c:pt>
                <c:pt idx="24">
                  <c:v>7.5</c:v>
                </c:pt>
                <c:pt idx="25">
                  <c:v>6.1</c:v>
                </c:pt>
                <c:pt idx="26">
                  <c:v>6.6</c:v>
                </c:pt>
                <c:pt idx="27">
                  <c:v>7.7</c:v>
                </c:pt>
                <c:pt idx="28">
                  <c:v>7.2</c:v>
                </c:pt>
                <c:pt idx="29">
                  <c:v>7.8</c:v>
                </c:pt>
                <c:pt idx="30">
                  <c:v>7.6</c:v>
                </c:pt>
                <c:pt idx="31">
                  <c:v>8.3000000000000007</c:v>
                </c:pt>
                <c:pt idx="32">
                  <c:v>8.6</c:v>
                </c:pt>
                <c:pt idx="33">
                  <c:v>8</c:v>
                </c:pt>
                <c:pt idx="34">
                  <c:v>8.5</c:v>
                </c:pt>
                <c:pt idx="35">
                  <c:v>8.6</c:v>
                </c:pt>
                <c:pt idx="36">
                  <c:v>9.4</c:v>
                </c:pt>
                <c:pt idx="37">
                  <c:v>9.3000000000000007</c:v>
                </c:pt>
                <c:pt idx="38">
                  <c:v>4.5</c:v>
                </c:pt>
                <c:pt idx="39">
                  <c:v>5.4</c:v>
                </c:pt>
                <c:pt idx="40">
                  <c:v>6.3</c:v>
                </c:pt>
                <c:pt idx="41">
                  <c:v>6.2</c:v>
                </c:pt>
                <c:pt idx="42">
                  <c:v>7.2</c:v>
                </c:pt>
                <c:pt idx="43">
                  <c:v>5.9</c:v>
                </c:pt>
                <c:pt idx="44">
                  <c:v>7.6</c:v>
                </c:pt>
                <c:pt idx="45">
                  <c:v>7</c:v>
                </c:pt>
                <c:pt idx="46">
                  <c:v>8.5</c:v>
                </c:pt>
                <c:pt idx="47">
                  <c:v>6.8</c:v>
                </c:pt>
                <c:pt idx="48">
                  <c:v>7.4</c:v>
                </c:pt>
                <c:pt idx="49">
                  <c:v>7.5</c:v>
                </c:pt>
                <c:pt idx="50">
                  <c:v>7.7</c:v>
                </c:pt>
                <c:pt idx="51">
                  <c:v>5.8</c:v>
                </c:pt>
                <c:pt idx="52">
                  <c:v>7</c:v>
                </c:pt>
                <c:pt idx="53">
                  <c:v>6.6</c:v>
                </c:pt>
                <c:pt idx="54">
                  <c:v>7.2</c:v>
                </c:pt>
                <c:pt idx="55">
                  <c:v>7</c:v>
                </c:pt>
                <c:pt idx="56">
                  <c:v>8.5</c:v>
                </c:pt>
                <c:pt idx="57">
                  <c:v>7.9</c:v>
                </c:pt>
                <c:pt idx="58">
                  <c:v>7.8</c:v>
                </c:pt>
                <c:pt idx="59">
                  <c:v>8.4</c:v>
                </c:pt>
                <c:pt idx="60">
                  <c:v>8.6</c:v>
                </c:pt>
                <c:pt idx="61">
                  <c:v>8.6</c:v>
                </c:pt>
                <c:pt idx="62">
                  <c:v>8.8000000000000007</c:v>
                </c:pt>
                <c:pt idx="63">
                  <c:v>9.4</c:v>
                </c:pt>
                <c:pt idx="64">
                  <c:v>9.1999999999999993</c:v>
                </c:pt>
                <c:pt idx="65">
                  <c:v>9</c:v>
                </c:pt>
                <c:pt idx="66">
                  <c:v>6.4</c:v>
                </c:pt>
                <c:pt idx="67">
                  <c:v>9</c:v>
                </c:pt>
                <c:pt idx="68">
                  <c:v>8.6</c:v>
                </c:pt>
                <c:pt idx="69">
                  <c:v>9.4</c:v>
                </c:pt>
                <c:pt idx="70">
                  <c:v>11.6</c:v>
                </c:pt>
                <c:pt idx="71">
                  <c:v>11.6</c:v>
                </c:pt>
                <c:pt idx="72">
                  <c:v>11</c:v>
                </c:pt>
                <c:pt idx="73">
                  <c:v>12</c:v>
                </c:pt>
                <c:pt idx="74">
                  <c:v>12.6</c:v>
                </c:pt>
                <c:pt idx="75">
                  <c:v>10.8</c:v>
                </c:pt>
                <c:pt idx="76">
                  <c:v>9</c:v>
                </c:pt>
                <c:pt idx="77">
                  <c:v>9.1</c:v>
                </c:pt>
                <c:pt idx="78">
                  <c:v>9.6</c:v>
                </c:pt>
                <c:pt idx="79">
                  <c:v>12.4</c:v>
                </c:pt>
                <c:pt idx="80">
                  <c:v>12.6</c:v>
                </c:pt>
                <c:pt idx="81">
                  <c:v>8</c:v>
                </c:pt>
                <c:pt idx="82">
                  <c:v>9</c:v>
                </c:pt>
                <c:pt idx="83">
                  <c:v>9.8000000000000007</c:v>
                </c:pt>
                <c:pt idx="84">
                  <c:v>10.4</c:v>
                </c:pt>
                <c:pt idx="85">
                  <c:v>10.199999999999999</c:v>
                </c:pt>
                <c:pt idx="86">
                  <c:v>8.4</c:v>
                </c:pt>
                <c:pt idx="87">
                  <c:v>10.199999999999999</c:v>
                </c:pt>
                <c:pt idx="88">
                  <c:v>11.2</c:v>
                </c:pt>
                <c:pt idx="89">
                  <c:v>11.8</c:v>
                </c:pt>
                <c:pt idx="90">
                  <c:v>13.6</c:v>
                </c:pt>
                <c:pt idx="91">
                  <c:v>14.2</c:v>
                </c:pt>
                <c:pt idx="92">
                  <c:v>13.4</c:v>
                </c:pt>
                <c:pt idx="93">
                  <c:v>15</c:v>
                </c:pt>
                <c:pt idx="94">
                  <c:v>14.6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11</c:v>
                </c:pt>
                <c:pt idx="100">
                  <c:v>13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13</c:v>
                </c:pt>
                <c:pt idx="105">
                  <c:v>14</c:v>
                </c:pt>
                <c:pt idx="106">
                  <c:v>13</c:v>
                </c:pt>
                <c:pt idx="107">
                  <c:v>11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8</c:v>
                </c:pt>
                <c:pt idx="112">
                  <c:v>10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11</c:v>
                </c:pt>
                <c:pt idx="120">
                  <c:v>12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17</c:v>
                </c:pt>
                <c:pt idx="127">
                  <c:v>15</c:v>
                </c:pt>
                <c:pt idx="128">
                  <c:v>16</c:v>
                </c:pt>
                <c:pt idx="129">
                  <c:v>18</c:v>
                </c:pt>
                <c:pt idx="130">
                  <c:v>18</c:v>
                </c:pt>
                <c:pt idx="131">
                  <c:v>15</c:v>
                </c:pt>
                <c:pt idx="132">
                  <c:v>16</c:v>
                </c:pt>
                <c:pt idx="133">
                  <c:v>16</c:v>
                </c:pt>
                <c:pt idx="134">
                  <c:v>18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15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21</c:v>
                </c:pt>
                <c:pt idx="156">
                  <c:v>22</c:v>
                </c:pt>
                <c:pt idx="157">
                  <c:v>22</c:v>
                </c:pt>
                <c:pt idx="158">
                  <c:v>21</c:v>
                </c:pt>
                <c:pt idx="159">
                  <c:v>25</c:v>
                </c:pt>
                <c:pt idx="160">
                  <c:v>28</c:v>
                </c:pt>
                <c:pt idx="161">
                  <c:v>25</c:v>
                </c:pt>
                <c:pt idx="162">
                  <c:v>21</c:v>
                </c:pt>
                <c:pt idx="163">
                  <c:v>24</c:v>
                </c:pt>
                <c:pt idx="164">
                  <c:v>25</c:v>
                </c:pt>
                <c:pt idx="165">
                  <c:v>25</c:v>
                </c:pt>
                <c:pt idx="166">
                  <c:v>17</c:v>
                </c:pt>
                <c:pt idx="167">
                  <c:v>18</c:v>
                </c:pt>
                <c:pt idx="168">
                  <c:v>17</c:v>
                </c:pt>
                <c:pt idx="169">
                  <c:v>21</c:v>
                </c:pt>
                <c:pt idx="170">
                  <c:v>26</c:v>
                </c:pt>
                <c:pt idx="171">
                  <c:v>27</c:v>
                </c:pt>
                <c:pt idx="172">
                  <c:v>27</c:v>
                </c:pt>
                <c:pt idx="173">
                  <c:v>27</c:v>
                </c:pt>
                <c:pt idx="174">
                  <c:v>29</c:v>
                </c:pt>
                <c:pt idx="175">
                  <c:v>31</c:v>
                </c:pt>
                <c:pt idx="176">
                  <c:v>31</c:v>
                </c:pt>
                <c:pt idx="177">
                  <c:v>21</c:v>
                </c:pt>
                <c:pt idx="178">
                  <c:v>21</c:v>
                </c:pt>
                <c:pt idx="179">
                  <c:v>21</c:v>
                </c:pt>
                <c:pt idx="180">
                  <c:v>26</c:v>
                </c:pt>
                <c:pt idx="181">
                  <c:v>28</c:v>
                </c:pt>
                <c:pt idx="182">
                  <c:v>27</c:v>
                </c:pt>
                <c:pt idx="183">
                  <c:v>27</c:v>
                </c:pt>
                <c:pt idx="184">
                  <c:v>29</c:v>
                </c:pt>
                <c:pt idx="185">
                  <c:v>21</c:v>
                </c:pt>
                <c:pt idx="186">
                  <c:v>20</c:v>
                </c:pt>
                <c:pt idx="187">
                  <c:v>24</c:v>
                </c:pt>
                <c:pt idx="188">
                  <c:v>22</c:v>
                </c:pt>
                <c:pt idx="189">
                  <c:v>28</c:v>
                </c:pt>
                <c:pt idx="190">
                  <c:v>30</c:v>
                </c:pt>
                <c:pt idx="191">
                  <c:v>30</c:v>
                </c:pt>
                <c:pt idx="192">
                  <c:v>28</c:v>
                </c:pt>
                <c:pt idx="193">
                  <c:v>31</c:v>
                </c:pt>
                <c:pt idx="194">
                  <c:v>29</c:v>
                </c:pt>
                <c:pt idx="195">
                  <c:v>30</c:v>
                </c:pt>
                <c:pt idx="196">
                  <c:v>31</c:v>
                </c:pt>
                <c:pt idx="197">
                  <c:v>31</c:v>
                </c:pt>
                <c:pt idx="198">
                  <c:v>27</c:v>
                </c:pt>
                <c:pt idx="199">
                  <c:v>32</c:v>
                </c:pt>
                <c:pt idx="200">
                  <c:v>33</c:v>
                </c:pt>
                <c:pt idx="201">
                  <c:v>31</c:v>
                </c:pt>
                <c:pt idx="202">
                  <c:v>32</c:v>
                </c:pt>
                <c:pt idx="203">
                  <c:v>32</c:v>
                </c:pt>
                <c:pt idx="204">
                  <c:v>30</c:v>
                </c:pt>
                <c:pt idx="205">
                  <c:v>34</c:v>
                </c:pt>
                <c:pt idx="206">
                  <c:v>25</c:v>
                </c:pt>
                <c:pt idx="207">
                  <c:v>22</c:v>
                </c:pt>
                <c:pt idx="208">
                  <c:v>31</c:v>
                </c:pt>
                <c:pt idx="209">
                  <c:v>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114368"/>
        <c:axId val="292114944"/>
      </c:scatterChart>
      <c:valAx>
        <c:axId val="29211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diameter</a:t>
                </a:r>
              </a:p>
            </c:rich>
          </c:tx>
          <c:layout>
            <c:manualLayout>
              <c:xMode val="edge"/>
              <c:yMode val="edge"/>
              <c:x val="0.48387190848455774"/>
              <c:y val="0.861315401268272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114944"/>
        <c:crosses val="autoZero"/>
        <c:crossBetween val="midCat"/>
      </c:valAx>
      <c:valAx>
        <c:axId val="292114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height</a:t>
                </a:r>
              </a:p>
            </c:rich>
          </c:tx>
          <c:layout>
            <c:manualLayout>
              <c:xMode val="edge"/>
              <c:yMode val="edge"/>
              <c:x val="2.8673835125448029E-2"/>
              <c:y val="0.339416824721727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11436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93" workbookViewId="0"/>
  </sheetViews>
  <pageMargins left="0.78740157499999996" right="0.78740157499999996" top="0.984251969" bottom="0.984251969" header="0.4921259845" footer="0.4921259845"/>
  <pageSetup paperSize="9" orientation="landscape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Diagramm2"/>
  <sheetViews>
    <sheetView zoomScale="93" workbookViewId="0"/>
  </sheetViews>
  <pageMargins left="0.78740157499999996" right="0.78740157499999996" top="0.984251969" bottom="0.984251969" header="0.4921259845" footer="0.4921259845"/>
  <pageSetup paperSize="9" orientation="landscape" verticalDpi="3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Diagramm3"/>
  <sheetViews>
    <sheetView workbookViewId="0"/>
  </sheetViews>
  <pageMargins left="0.78740157499999996" right="0.78740157499999996" top="0.984251969" bottom="0.984251969" header="0.4921259845" footer="0.4921259845"/>
  <pageSetup paperSize="9" orientation="landscape" verticalDpi="3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Diagramm6"/>
  <sheetViews>
    <sheetView zoomScale="93" workbookViewId="0"/>
  </sheetViews>
  <pageMargins left="0.78740157499999996" right="0.78740157499999996" top="0.984251969" bottom="0.984251969" header="0.4921259845" footer="0.4921259845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Diagramm10"/>
  <sheetViews>
    <sheetView zoomScale="93" workbookViewId="0"/>
  </sheetViews>
  <pageMargins left="0.78740157499999996" right="0.78740157499999996" top="0.984251969" bottom="0.984251969" header="0.4921259845" footer="0.4921259845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Diagramm11"/>
  <sheetViews>
    <sheetView zoomScale="93" workbookViewId="0"/>
  </sheetViews>
  <pageMargins left="0.78740157499999996" right="0.78740157499999996" top="0.984251969" bottom="0.984251969" header="0.4921259845" footer="0.492125984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438150</xdr:colOff>
      <xdr:row>2</xdr:row>
      <xdr:rowOff>9525</xdr:rowOff>
    </xdr:from>
    <xdr:to>
      <xdr:col>33</xdr:col>
      <xdr:colOff>752475</xdr:colOff>
      <xdr:row>28</xdr:row>
      <xdr:rowOff>0</xdr:rowOff>
    </xdr:to>
    <xdr:graphicFrame macro="">
      <xdr:nvGraphicFramePr>
        <xdr:cNvPr id="7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447675</xdr:colOff>
      <xdr:row>31</xdr:row>
      <xdr:rowOff>9525</xdr:rowOff>
    </xdr:from>
    <xdr:to>
      <xdr:col>34</xdr:col>
      <xdr:colOff>0</xdr:colOff>
      <xdr:row>63</xdr:row>
      <xdr:rowOff>9525</xdr:rowOff>
    </xdr:to>
    <xdr:graphicFrame macro="">
      <xdr:nvGraphicFramePr>
        <xdr:cNvPr id="719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476250</xdr:colOff>
      <xdr:row>64</xdr:row>
      <xdr:rowOff>0</xdr:rowOff>
    </xdr:from>
    <xdr:to>
      <xdr:col>34</xdr:col>
      <xdr:colOff>0</xdr:colOff>
      <xdr:row>95</xdr:row>
      <xdr:rowOff>9525</xdr:rowOff>
    </xdr:to>
    <xdr:graphicFrame macro="">
      <xdr:nvGraphicFramePr>
        <xdr:cNvPr id="719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01774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2</xdr:row>
      <xdr:rowOff>47625</xdr:rowOff>
    </xdr:from>
    <xdr:to>
      <xdr:col>19</xdr:col>
      <xdr:colOff>628650</xdr:colOff>
      <xdr:row>30</xdr:row>
      <xdr:rowOff>152400</xdr:rowOff>
    </xdr:to>
    <xdr:graphicFrame macro="">
      <xdr:nvGraphicFramePr>
        <xdr:cNvPr id="514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447675</xdr:colOff>
      <xdr:row>35</xdr:row>
      <xdr:rowOff>85725</xdr:rowOff>
    </xdr:from>
    <xdr:to>
      <xdr:col>20</xdr:col>
      <xdr:colOff>304800</xdr:colOff>
      <xdr:row>65</xdr:row>
      <xdr:rowOff>66675</xdr:rowOff>
    </xdr:to>
    <xdr:graphicFrame macro="">
      <xdr:nvGraphicFramePr>
        <xdr:cNvPr id="514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457200</xdr:colOff>
      <xdr:row>66</xdr:row>
      <xdr:rowOff>28575</xdr:rowOff>
    </xdr:from>
    <xdr:to>
      <xdr:col>21</xdr:col>
      <xdr:colOff>0</xdr:colOff>
      <xdr:row>92</xdr:row>
      <xdr:rowOff>9525</xdr:rowOff>
    </xdr:to>
    <xdr:graphicFrame macro="">
      <xdr:nvGraphicFramePr>
        <xdr:cNvPr id="514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1028700</xdr:colOff>
      <xdr:row>1</xdr:row>
      <xdr:rowOff>0</xdr:rowOff>
    </xdr:from>
    <xdr:to>
      <xdr:col>18</xdr:col>
      <xdr:colOff>752475</xdr:colOff>
      <xdr:row>33</xdr:row>
      <xdr:rowOff>142875</xdr:rowOff>
    </xdr:to>
    <xdr:graphicFrame macro="">
      <xdr:nvGraphicFramePr>
        <xdr:cNvPr id="1229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0</xdr:row>
      <xdr:rowOff>38100</xdr:rowOff>
    </xdr:from>
    <xdr:to>
      <xdr:col>21</xdr:col>
      <xdr:colOff>695325</xdr:colOff>
      <xdr:row>31</xdr:row>
      <xdr:rowOff>142875</xdr:rowOff>
    </xdr:to>
    <xdr:graphicFrame macro="">
      <xdr:nvGraphicFramePr>
        <xdr:cNvPr id="1434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27</xdr:row>
      <xdr:rowOff>152400</xdr:rowOff>
    </xdr:from>
    <xdr:to>
      <xdr:col>7</xdr:col>
      <xdr:colOff>228600</xdr:colOff>
      <xdr:row>46</xdr:row>
      <xdr:rowOff>133350</xdr:rowOff>
    </xdr:to>
    <xdr:graphicFrame macro="">
      <xdr:nvGraphicFramePr>
        <xdr:cNvPr id="615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13</xdr:row>
      <xdr:rowOff>114300</xdr:rowOff>
    </xdr:from>
    <xdr:to>
      <xdr:col>17</xdr:col>
      <xdr:colOff>133350</xdr:colOff>
      <xdr:row>30</xdr:row>
      <xdr:rowOff>142875</xdr:rowOff>
    </xdr:to>
    <xdr:graphicFrame macro="">
      <xdr:nvGraphicFramePr>
        <xdr:cNvPr id="410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483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483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483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6</xdr:col>
      <xdr:colOff>752475</xdr:colOff>
      <xdr:row>16</xdr:row>
      <xdr:rowOff>38100</xdr:rowOff>
    </xdr:to>
    <xdr:graphicFrame macro="">
      <xdr:nvGraphicFramePr>
        <xdr:cNvPr id="207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47625</xdr:rowOff>
    </xdr:from>
    <xdr:to>
      <xdr:col>6</xdr:col>
      <xdr:colOff>752475</xdr:colOff>
      <xdr:row>32</xdr:row>
      <xdr:rowOff>76200</xdr:rowOff>
    </xdr:to>
    <xdr:graphicFrame macro="">
      <xdr:nvGraphicFramePr>
        <xdr:cNvPr id="207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85725</xdr:rowOff>
    </xdr:from>
    <xdr:to>
      <xdr:col>7</xdr:col>
      <xdr:colOff>0</xdr:colOff>
      <xdr:row>48</xdr:row>
      <xdr:rowOff>123825</xdr:rowOff>
    </xdr:to>
    <xdr:graphicFrame macro="">
      <xdr:nvGraphicFramePr>
        <xdr:cNvPr id="207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483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01774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ohr\sapwoo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Vanninen"/>
      <sheetName val="Tabelle3"/>
    </sheetNames>
    <sheetDataSet>
      <sheetData sheetId="0"/>
      <sheetData sheetId="1">
        <row r="18">
          <cell r="B18">
            <v>9</v>
          </cell>
          <cell r="C18">
            <v>10</v>
          </cell>
          <cell r="D18">
            <v>10</v>
          </cell>
          <cell r="E18">
            <v>14</v>
          </cell>
          <cell r="F18">
            <v>13</v>
          </cell>
          <cell r="G18">
            <v>14</v>
          </cell>
          <cell r="H18">
            <v>20</v>
          </cell>
          <cell r="I18">
            <v>23</v>
          </cell>
          <cell r="J18">
            <v>26</v>
          </cell>
          <cell r="K18">
            <v>26</v>
          </cell>
          <cell r="L18">
            <v>5</v>
          </cell>
          <cell r="M18">
            <v>6</v>
          </cell>
          <cell r="N18">
            <v>17</v>
          </cell>
          <cell r="O18">
            <v>18</v>
          </cell>
          <cell r="P18">
            <v>22</v>
          </cell>
          <cell r="Q18">
            <v>25</v>
          </cell>
          <cell r="R18">
            <v>32</v>
          </cell>
          <cell r="S18">
            <v>32</v>
          </cell>
        </row>
        <row r="27">
          <cell r="B27">
            <v>3.4</v>
          </cell>
          <cell r="C27">
            <v>4.8</v>
          </cell>
          <cell r="D27">
            <v>6.7</v>
          </cell>
          <cell r="E27">
            <v>7.7</v>
          </cell>
          <cell r="F27">
            <v>7</v>
          </cell>
          <cell r="G27">
            <v>11.3</v>
          </cell>
          <cell r="H27">
            <v>8.6</v>
          </cell>
          <cell r="I27">
            <v>13.5</v>
          </cell>
          <cell r="J27">
            <v>19.3</v>
          </cell>
          <cell r="K27">
            <v>18.7</v>
          </cell>
          <cell r="L27">
            <v>4.2</v>
          </cell>
          <cell r="M27">
            <v>3.8</v>
          </cell>
          <cell r="N27">
            <v>11.6</v>
          </cell>
          <cell r="O27">
            <v>12.7</v>
          </cell>
          <cell r="P27">
            <v>12.1</v>
          </cell>
          <cell r="Q27">
            <v>7</v>
          </cell>
          <cell r="R27">
            <v>12.9</v>
          </cell>
          <cell r="S27">
            <v>16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2"/>
  <dimension ref="A1:W232"/>
  <sheetViews>
    <sheetView zoomScale="75" workbookViewId="0">
      <selection activeCell="E55" sqref="E55"/>
    </sheetView>
  </sheetViews>
  <sheetFormatPr baseColWidth="10" defaultRowHeight="12.75"/>
  <cols>
    <col min="1" max="1" width="3.85546875" style="136" bestFit="1" customWidth="1"/>
    <col min="2" max="2" width="6.42578125" style="136" customWidth="1"/>
    <col min="3" max="3" width="6.7109375" style="136" customWidth="1"/>
    <col min="4" max="4" width="7.28515625" style="136" customWidth="1"/>
    <col min="5" max="5" width="5" style="136" bestFit="1" customWidth="1"/>
    <col min="6" max="7" width="4.7109375" style="136" customWidth="1"/>
    <col min="8" max="8" width="5" style="136" customWidth="1"/>
    <col min="9" max="12" width="5" style="136" bestFit="1" customWidth="1"/>
    <col min="13" max="13" width="5" style="136" customWidth="1"/>
    <col min="14" max="14" width="5" style="136" bestFit="1" customWidth="1"/>
    <col min="15" max="15" width="6.42578125" style="136" customWidth="1"/>
    <col min="16" max="19" width="8" style="136" bestFit="1" customWidth="1"/>
    <col min="20" max="20" width="5.42578125" style="136" bestFit="1" customWidth="1"/>
    <col min="21" max="21" width="19" style="136" bestFit="1" customWidth="1"/>
    <col min="22" max="22" width="7.140625" style="136" bestFit="1" customWidth="1"/>
    <col min="23" max="16384" width="11.42578125" style="136"/>
  </cols>
  <sheetData>
    <row r="1" spans="1:22" ht="15.75">
      <c r="A1" s="135" t="s">
        <v>182</v>
      </c>
    </row>
    <row r="3" spans="1:22" ht="90" customHeight="1">
      <c r="A3" s="153" t="s">
        <v>49</v>
      </c>
      <c r="B3" s="153" t="s">
        <v>1467</v>
      </c>
      <c r="C3" s="153" t="s">
        <v>20</v>
      </c>
      <c r="D3" s="153" t="s">
        <v>50</v>
      </c>
      <c r="E3" s="153" t="s">
        <v>51</v>
      </c>
      <c r="F3" s="153" t="s">
        <v>255</v>
      </c>
      <c r="G3" s="153" t="s">
        <v>256</v>
      </c>
      <c r="H3" s="154" t="s">
        <v>52</v>
      </c>
      <c r="I3" s="153" t="s">
        <v>257</v>
      </c>
      <c r="J3" s="153" t="s">
        <v>258</v>
      </c>
      <c r="K3" s="153" t="s">
        <v>259</v>
      </c>
      <c r="L3" s="153" t="s">
        <v>260</v>
      </c>
      <c r="M3" s="154" t="s">
        <v>53</v>
      </c>
      <c r="N3" s="153" t="s">
        <v>183</v>
      </c>
      <c r="O3" s="155" t="s">
        <v>261</v>
      </c>
      <c r="P3" s="153" t="s">
        <v>184</v>
      </c>
      <c r="Q3" s="153" t="s">
        <v>185</v>
      </c>
      <c r="R3" s="153" t="s">
        <v>186</v>
      </c>
      <c r="S3" s="153" t="s">
        <v>262</v>
      </c>
      <c r="T3" s="156" t="s">
        <v>187</v>
      </c>
      <c r="U3" s="157" t="s">
        <v>188</v>
      </c>
      <c r="V3" s="156" t="s">
        <v>189</v>
      </c>
    </row>
    <row r="4" spans="1:22">
      <c r="A4" s="158" t="s">
        <v>190</v>
      </c>
      <c r="B4" s="159">
        <v>22</v>
      </c>
      <c r="C4" s="159">
        <v>9</v>
      </c>
      <c r="D4" s="159">
        <v>6.1</v>
      </c>
      <c r="E4" s="159">
        <v>1.32</v>
      </c>
      <c r="F4" s="159">
        <v>3</v>
      </c>
      <c r="G4" s="159">
        <v>3</v>
      </c>
      <c r="H4" s="160">
        <f t="shared" ref="H4:H67" si="0">(F4+G4)/2</f>
        <v>3</v>
      </c>
      <c r="I4" s="159">
        <v>0.94</v>
      </c>
      <c r="J4" s="159">
        <v>1.1200000000000001</v>
      </c>
      <c r="K4" s="159">
        <v>0.64</v>
      </c>
      <c r="L4" s="159">
        <v>0.64</v>
      </c>
      <c r="M4" s="160">
        <f t="shared" ref="M4:M67" si="1">SUM(I4:L4)/2</f>
        <v>1.6700000000000002</v>
      </c>
      <c r="N4" s="159">
        <v>4.78</v>
      </c>
      <c r="O4" s="160">
        <f t="shared" ref="O4:O67" si="2">3.142/4*M4^2*N4</f>
        <v>10.471454941000003</v>
      </c>
      <c r="P4" s="159">
        <v>0.78361000000000003</v>
      </c>
      <c r="Q4" s="159">
        <v>5.7245499999999998</v>
      </c>
      <c r="R4" s="159">
        <v>2.0333299999999999</v>
      </c>
      <c r="S4" s="161">
        <v>2.1903999999999999</v>
      </c>
      <c r="T4" s="162" t="s">
        <v>191</v>
      </c>
      <c r="U4" s="162" t="s">
        <v>192</v>
      </c>
      <c r="V4" s="163" t="s">
        <v>193</v>
      </c>
    </row>
    <row r="5" spans="1:22">
      <c r="A5" s="158" t="s">
        <v>190</v>
      </c>
      <c r="B5" s="159">
        <v>24</v>
      </c>
      <c r="C5" s="159">
        <v>9</v>
      </c>
      <c r="D5" s="159">
        <v>6.1</v>
      </c>
      <c r="E5" s="159">
        <v>1.41</v>
      </c>
      <c r="F5" s="159">
        <v>3.5</v>
      </c>
      <c r="G5" s="159">
        <v>3.5</v>
      </c>
      <c r="H5" s="160">
        <f t="shared" si="0"/>
        <v>3.5</v>
      </c>
      <c r="I5" s="159">
        <v>0.54</v>
      </c>
      <c r="J5" s="159">
        <v>0.71</v>
      </c>
      <c r="K5" s="159">
        <v>0.98</v>
      </c>
      <c r="L5" s="159">
        <v>0.74</v>
      </c>
      <c r="M5" s="160">
        <f t="shared" si="1"/>
        <v>1.4849999999999999</v>
      </c>
      <c r="N5" s="159">
        <v>4.6900000000000004</v>
      </c>
      <c r="O5" s="160">
        <f t="shared" si="2"/>
        <v>8.1240378738749985</v>
      </c>
      <c r="P5" s="159">
        <v>0.76885000000000003</v>
      </c>
      <c r="Q5" s="159">
        <v>6.3164999999999996</v>
      </c>
      <c r="R5" s="159">
        <v>1.7428600000000001</v>
      </c>
      <c r="S5" s="161">
        <v>1.7319800000000001</v>
      </c>
      <c r="T5" s="162" t="s">
        <v>191</v>
      </c>
      <c r="U5" s="162" t="s">
        <v>192</v>
      </c>
      <c r="V5" s="163" t="s">
        <v>193</v>
      </c>
    </row>
    <row r="6" spans="1:22">
      <c r="A6" s="158" t="s">
        <v>190</v>
      </c>
      <c r="B6" s="159">
        <v>26</v>
      </c>
      <c r="C6" s="159">
        <v>9</v>
      </c>
      <c r="D6" s="159">
        <v>4.5</v>
      </c>
      <c r="E6" s="159">
        <v>1.22</v>
      </c>
      <c r="F6" s="159">
        <v>5</v>
      </c>
      <c r="G6" s="159">
        <v>5</v>
      </c>
      <c r="H6" s="160">
        <f t="shared" si="0"/>
        <v>5</v>
      </c>
      <c r="I6" s="159">
        <v>1.26</v>
      </c>
      <c r="J6" s="159">
        <v>0.98</v>
      </c>
      <c r="K6" s="159">
        <v>0.93</v>
      </c>
      <c r="L6" s="159">
        <v>1.1299999999999999</v>
      </c>
      <c r="M6" s="160">
        <f t="shared" si="1"/>
        <v>2.1500000000000004</v>
      </c>
      <c r="N6" s="159">
        <v>3.28</v>
      </c>
      <c r="O6" s="160">
        <f t="shared" si="2"/>
        <v>11.909593900000003</v>
      </c>
      <c r="P6" s="159">
        <v>0.72889000000000004</v>
      </c>
      <c r="Q6" s="159">
        <v>3.0511599999999999</v>
      </c>
      <c r="R6" s="159">
        <v>0.9</v>
      </c>
      <c r="S6" s="161">
        <v>3.6305000000000001</v>
      </c>
      <c r="T6" s="162" t="s">
        <v>191</v>
      </c>
      <c r="U6" s="162" t="s">
        <v>192</v>
      </c>
      <c r="V6" s="163" t="s">
        <v>193</v>
      </c>
    </row>
    <row r="7" spans="1:22">
      <c r="A7" s="158" t="s">
        <v>190</v>
      </c>
      <c r="B7" s="159">
        <v>28</v>
      </c>
      <c r="C7" s="159">
        <v>9</v>
      </c>
      <c r="D7" s="159">
        <v>5.5</v>
      </c>
      <c r="E7" s="159">
        <v>1.2</v>
      </c>
      <c r="F7" s="159">
        <v>2.5</v>
      </c>
      <c r="G7" s="159">
        <v>2.5</v>
      </c>
      <c r="H7" s="160">
        <f t="shared" si="0"/>
        <v>2.5</v>
      </c>
      <c r="I7" s="159">
        <v>0.54</v>
      </c>
      <c r="J7" s="159">
        <v>0.69</v>
      </c>
      <c r="K7" s="159">
        <v>0.81</v>
      </c>
      <c r="L7" s="159">
        <v>0.53</v>
      </c>
      <c r="M7" s="160">
        <f t="shared" si="1"/>
        <v>1.2850000000000001</v>
      </c>
      <c r="N7" s="159">
        <v>4.3</v>
      </c>
      <c r="O7" s="160">
        <f t="shared" si="2"/>
        <v>5.577260121250001</v>
      </c>
      <c r="P7" s="159">
        <v>0.78181999999999996</v>
      </c>
      <c r="Q7" s="159">
        <v>6.6926100000000002</v>
      </c>
      <c r="R7" s="159">
        <v>2.2000000000000002</v>
      </c>
      <c r="S7" s="161">
        <v>1.29687</v>
      </c>
      <c r="T7" s="162" t="s">
        <v>191</v>
      </c>
      <c r="U7" s="162" t="s">
        <v>192</v>
      </c>
      <c r="V7" s="163" t="s">
        <v>193</v>
      </c>
    </row>
    <row r="8" spans="1:22">
      <c r="A8" s="158" t="s">
        <v>190</v>
      </c>
      <c r="B8" s="159">
        <v>30</v>
      </c>
      <c r="C8" s="159">
        <v>9</v>
      </c>
      <c r="D8" s="159">
        <v>4.4000000000000004</v>
      </c>
      <c r="E8" s="159">
        <v>1.79</v>
      </c>
      <c r="F8" s="159">
        <v>3</v>
      </c>
      <c r="G8" s="159">
        <v>3</v>
      </c>
      <c r="H8" s="160">
        <f t="shared" si="0"/>
        <v>3</v>
      </c>
      <c r="I8" s="159">
        <v>0.78</v>
      </c>
      <c r="J8" s="159">
        <v>0.46</v>
      </c>
      <c r="K8" s="159">
        <v>0.6</v>
      </c>
      <c r="L8" s="159">
        <v>0.89</v>
      </c>
      <c r="M8" s="160">
        <f t="shared" si="1"/>
        <v>1.365</v>
      </c>
      <c r="N8" s="159">
        <v>2.61</v>
      </c>
      <c r="O8" s="160">
        <f t="shared" si="2"/>
        <v>3.8199000498749993</v>
      </c>
      <c r="P8" s="159">
        <v>0.59318000000000004</v>
      </c>
      <c r="Q8" s="159">
        <v>3.79636</v>
      </c>
      <c r="R8" s="159">
        <v>1.4666699999999999</v>
      </c>
      <c r="S8" s="161">
        <v>1.48489</v>
      </c>
      <c r="T8" s="162" t="s">
        <v>191</v>
      </c>
      <c r="U8" s="162" t="s">
        <v>192</v>
      </c>
      <c r="V8" s="163" t="s">
        <v>193</v>
      </c>
    </row>
    <row r="9" spans="1:22">
      <c r="A9" s="158" t="s">
        <v>190</v>
      </c>
      <c r="B9" s="159">
        <v>32</v>
      </c>
      <c r="C9" s="159">
        <v>9</v>
      </c>
      <c r="D9" s="159">
        <v>4.4000000000000004</v>
      </c>
      <c r="E9" s="159">
        <v>1.61</v>
      </c>
      <c r="F9" s="159">
        <v>3</v>
      </c>
      <c r="G9" s="159">
        <v>3</v>
      </c>
      <c r="H9" s="160">
        <f t="shared" si="0"/>
        <v>3</v>
      </c>
      <c r="I9" s="159">
        <v>0.77</v>
      </c>
      <c r="J9" s="159">
        <v>0.89</v>
      </c>
      <c r="K9" s="159">
        <v>0.82</v>
      </c>
      <c r="L9" s="159">
        <v>0.74</v>
      </c>
      <c r="M9" s="160">
        <f t="shared" si="1"/>
        <v>1.6099999999999999</v>
      </c>
      <c r="N9" s="159">
        <v>2.79</v>
      </c>
      <c r="O9" s="160">
        <f t="shared" si="2"/>
        <v>5.6807037944999994</v>
      </c>
      <c r="P9" s="159">
        <v>0.63409000000000004</v>
      </c>
      <c r="Q9" s="159">
        <v>3.46584</v>
      </c>
      <c r="R9" s="159">
        <v>1.4666699999999999</v>
      </c>
      <c r="S9" s="161">
        <v>2.0358299999999998</v>
      </c>
      <c r="T9" s="162" t="s">
        <v>191</v>
      </c>
      <c r="U9" s="162" t="s">
        <v>192</v>
      </c>
      <c r="V9" s="163" t="s">
        <v>193</v>
      </c>
    </row>
    <row r="10" spans="1:22">
      <c r="A10" s="158" t="s">
        <v>190</v>
      </c>
      <c r="B10" s="159">
        <v>34</v>
      </c>
      <c r="C10" s="159">
        <v>9</v>
      </c>
      <c r="D10" s="159">
        <v>4.5</v>
      </c>
      <c r="E10" s="159">
        <v>1.52</v>
      </c>
      <c r="F10" s="159">
        <v>5</v>
      </c>
      <c r="G10" s="159">
        <v>4.5</v>
      </c>
      <c r="H10" s="160">
        <f t="shared" si="0"/>
        <v>4.75</v>
      </c>
      <c r="I10" s="159">
        <v>1.19</v>
      </c>
      <c r="J10" s="159">
        <v>0.85</v>
      </c>
      <c r="K10" s="159">
        <v>0.98</v>
      </c>
      <c r="L10" s="159">
        <v>1.24</v>
      </c>
      <c r="M10" s="160">
        <f t="shared" si="1"/>
        <v>2.13</v>
      </c>
      <c r="N10" s="159">
        <v>2.98</v>
      </c>
      <c r="O10" s="160">
        <f t="shared" si="2"/>
        <v>10.619930150999998</v>
      </c>
      <c r="P10" s="159">
        <v>0.66222000000000003</v>
      </c>
      <c r="Q10" s="159">
        <v>2.7981199999999999</v>
      </c>
      <c r="R10" s="159">
        <v>0.94737000000000005</v>
      </c>
      <c r="S10" s="161">
        <v>3.5632700000000002</v>
      </c>
      <c r="T10" s="162" t="s">
        <v>191</v>
      </c>
      <c r="U10" s="162" t="s">
        <v>192</v>
      </c>
      <c r="V10" s="163" t="s">
        <v>193</v>
      </c>
    </row>
    <row r="11" spans="1:22">
      <c r="A11" s="158" t="s">
        <v>190</v>
      </c>
      <c r="B11" s="159">
        <v>36</v>
      </c>
      <c r="C11" s="159">
        <v>9</v>
      </c>
      <c r="D11" s="159">
        <v>4.8</v>
      </c>
      <c r="E11" s="159">
        <v>1.58</v>
      </c>
      <c r="F11" s="159">
        <v>3.5</v>
      </c>
      <c r="G11" s="159">
        <v>3.5</v>
      </c>
      <c r="H11" s="160">
        <f t="shared" si="0"/>
        <v>3.5</v>
      </c>
      <c r="I11" s="159">
        <v>0.74</v>
      </c>
      <c r="J11" s="159">
        <v>0.62</v>
      </c>
      <c r="K11" s="159">
        <v>0.91</v>
      </c>
      <c r="L11" s="159" t="s">
        <v>194</v>
      </c>
      <c r="M11" s="160">
        <f t="shared" si="1"/>
        <v>1.135</v>
      </c>
      <c r="N11" s="159">
        <v>3.22</v>
      </c>
      <c r="O11" s="160">
        <f t="shared" si="2"/>
        <v>3.2583203747500002</v>
      </c>
      <c r="P11" s="159">
        <v>0.67083000000000004</v>
      </c>
      <c r="Q11" s="159">
        <v>3.9268299999999998</v>
      </c>
      <c r="R11" s="159">
        <v>1.3714299999999999</v>
      </c>
      <c r="S11" s="161">
        <v>2.1124100000000001</v>
      </c>
      <c r="T11" s="162" t="s">
        <v>191</v>
      </c>
      <c r="U11" s="162" t="s">
        <v>192</v>
      </c>
      <c r="V11" s="163" t="s">
        <v>193</v>
      </c>
    </row>
    <row r="12" spans="1:22">
      <c r="A12" s="158" t="s">
        <v>190</v>
      </c>
      <c r="B12" s="159">
        <v>38</v>
      </c>
      <c r="C12" s="159">
        <v>9</v>
      </c>
      <c r="D12" s="159">
        <v>4.9000000000000004</v>
      </c>
      <c r="E12" s="159">
        <v>2.0099999999999998</v>
      </c>
      <c r="F12" s="159">
        <v>3.5</v>
      </c>
      <c r="G12" s="159">
        <v>3.5</v>
      </c>
      <c r="H12" s="160">
        <f t="shared" si="0"/>
        <v>3.5</v>
      </c>
      <c r="I12" s="159">
        <v>0.19</v>
      </c>
      <c r="J12" s="159">
        <v>0.84</v>
      </c>
      <c r="K12" s="159">
        <v>0.92</v>
      </c>
      <c r="L12" s="159">
        <v>0.7</v>
      </c>
      <c r="M12" s="160">
        <f t="shared" si="1"/>
        <v>1.3250000000000002</v>
      </c>
      <c r="N12" s="159">
        <v>2.89</v>
      </c>
      <c r="O12" s="160">
        <f t="shared" si="2"/>
        <v>3.985435534375001</v>
      </c>
      <c r="P12" s="159">
        <v>0.58979999999999999</v>
      </c>
      <c r="Q12" s="159">
        <v>4.36226</v>
      </c>
      <c r="R12" s="159">
        <v>1.4</v>
      </c>
      <c r="S12" s="161">
        <v>1.37886</v>
      </c>
      <c r="T12" s="162" t="s">
        <v>191</v>
      </c>
      <c r="U12" s="162" t="s">
        <v>192</v>
      </c>
      <c r="V12" s="163" t="s">
        <v>193</v>
      </c>
    </row>
    <row r="13" spans="1:22">
      <c r="A13" s="158" t="s">
        <v>190</v>
      </c>
      <c r="B13" s="159">
        <v>40</v>
      </c>
      <c r="C13" s="159">
        <v>9</v>
      </c>
      <c r="D13" s="159">
        <v>6.4</v>
      </c>
      <c r="E13" s="159">
        <v>1.19</v>
      </c>
      <c r="F13" s="159">
        <v>4.5</v>
      </c>
      <c r="G13" s="159">
        <v>4.5</v>
      </c>
      <c r="H13" s="160">
        <f t="shared" si="0"/>
        <v>4.5</v>
      </c>
      <c r="I13" s="159">
        <v>1.04</v>
      </c>
      <c r="J13" s="159">
        <v>0.75</v>
      </c>
      <c r="K13" s="159">
        <v>0.85</v>
      </c>
      <c r="L13" s="159">
        <v>0.82</v>
      </c>
      <c r="M13" s="160">
        <f t="shared" si="1"/>
        <v>1.73</v>
      </c>
      <c r="N13" s="159">
        <v>5.21</v>
      </c>
      <c r="O13" s="160">
        <f t="shared" si="2"/>
        <v>12.248308569500001</v>
      </c>
      <c r="P13" s="159">
        <v>0.81406000000000001</v>
      </c>
      <c r="Q13" s="159">
        <v>6.0231199999999996</v>
      </c>
      <c r="R13" s="159">
        <v>1.42222</v>
      </c>
      <c r="S13" s="161">
        <v>2.3506200000000002</v>
      </c>
      <c r="T13" s="162" t="s">
        <v>191</v>
      </c>
      <c r="U13" s="162" t="s">
        <v>192</v>
      </c>
      <c r="V13" s="163" t="s">
        <v>193</v>
      </c>
    </row>
    <row r="14" spans="1:22">
      <c r="A14" s="158" t="s">
        <v>190</v>
      </c>
      <c r="B14" s="159">
        <v>42</v>
      </c>
      <c r="C14" s="159">
        <v>13</v>
      </c>
      <c r="D14" s="159">
        <v>5.3</v>
      </c>
      <c r="E14" s="159">
        <v>2.15</v>
      </c>
      <c r="F14" s="159">
        <v>7</v>
      </c>
      <c r="G14" s="159">
        <v>7.5</v>
      </c>
      <c r="H14" s="160">
        <f t="shared" si="0"/>
        <v>7.25</v>
      </c>
      <c r="I14" s="159" t="s">
        <v>195</v>
      </c>
      <c r="J14" s="159">
        <v>1.71</v>
      </c>
      <c r="K14" s="159">
        <v>1.84</v>
      </c>
      <c r="L14" s="159">
        <v>1.96</v>
      </c>
      <c r="M14" s="160">
        <f t="shared" si="1"/>
        <v>2.7549999999999999</v>
      </c>
      <c r="N14" s="159">
        <v>3.15</v>
      </c>
      <c r="O14" s="160">
        <f t="shared" si="2"/>
        <v>18.780188608124998</v>
      </c>
      <c r="P14" s="159">
        <v>0.59433999999999998</v>
      </c>
      <c r="Q14" s="159">
        <v>1.8025800000000001</v>
      </c>
      <c r="R14" s="159">
        <v>0.73102999999999996</v>
      </c>
      <c r="S14" s="161">
        <v>9.5936599999999999</v>
      </c>
      <c r="T14" s="162" t="s">
        <v>191</v>
      </c>
      <c r="U14" s="162" t="s">
        <v>192</v>
      </c>
      <c r="V14" s="163" t="s">
        <v>196</v>
      </c>
    </row>
    <row r="15" spans="1:22">
      <c r="A15" s="158" t="s">
        <v>190</v>
      </c>
      <c r="B15" s="159">
        <v>44</v>
      </c>
      <c r="C15" s="159">
        <v>13</v>
      </c>
      <c r="D15" s="159">
        <v>7.6</v>
      </c>
      <c r="E15" s="159">
        <v>2.2000000000000002</v>
      </c>
      <c r="F15" s="159">
        <v>5</v>
      </c>
      <c r="G15" s="159">
        <v>5</v>
      </c>
      <c r="H15" s="160">
        <f t="shared" si="0"/>
        <v>5</v>
      </c>
      <c r="I15" s="159">
        <v>1.08</v>
      </c>
      <c r="J15" s="159">
        <v>1.07</v>
      </c>
      <c r="K15" s="159">
        <v>0.78</v>
      </c>
      <c r="L15" s="159">
        <v>0.88</v>
      </c>
      <c r="M15" s="160">
        <f t="shared" si="1"/>
        <v>1.9050000000000002</v>
      </c>
      <c r="N15" s="159">
        <v>5.4</v>
      </c>
      <c r="O15" s="160">
        <f t="shared" si="2"/>
        <v>15.393235342500004</v>
      </c>
      <c r="P15" s="159">
        <v>0.71052999999999999</v>
      </c>
      <c r="Q15" s="159">
        <v>5.6692900000000002</v>
      </c>
      <c r="R15" s="159">
        <v>1.52</v>
      </c>
      <c r="S15" s="161">
        <v>2.8502299999999998</v>
      </c>
      <c r="T15" s="162" t="s">
        <v>191</v>
      </c>
      <c r="U15" s="162" t="s">
        <v>192</v>
      </c>
      <c r="V15" s="163" t="s">
        <v>196</v>
      </c>
    </row>
    <row r="16" spans="1:22">
      <c r="A16" s="158" t="s">
        <v>190</v>
      </c>
      <c r="B16" s="159">
        <v>46</v>
      </c>
      <c r="C16" s="159">
        <v>13</v>
      </c>
      <c r="D16" s="159">
        <v>6.7</v>
      </c>
      <c r="E16" s="159">
        <v>2.1</v>
      </c>
      <c r="F16" s="159">
        <v>5</v>
      </c>
      <c r="G16" s="159">
        <v>4.5</v>
      </c>
      <c r="H16" s="160">
        <f t="shared" si="0"/>
        <v>4.75</v>
      </c>
      <c r="I16" s="159">
        <v>1.1599999999999999</v>
      </c>
      <c r="J16" s="159">
        <v>1</v>
      </c>
      <c r="K16" s="159">
        <v>0.51</v>
      </c>
      <c r="L16" s="159">
        <v>0.61</v>
      </c>
      <c r="M16" s="160">
        <f t="shared" si="1"/>
        <v>1.64</v>
      </c>
      <c r="N16" s="159">
        <v>4.5999999999999996</v>
      </c>
      <c r="O16" s="160">
        <f t="shared" si="2"/>
        <v>9.7183316799999986</v>
      </c>
      <c r="P16" s="159">
        <v>0.68657000000000001</v>
      </c>
      <c r="Q16" s="159">
        <v>5.6097599999999996</v>
      </c>
      <c r="R16" s="159">
        <v>1.4105300000000001</v>
      </c>
      <c r="S16" s="161">
        <v>2.1124100000000001</v>
      </c>
      <c r="T16" s="162" t="s">
        <v>191</v>
      </c>
      <c r="U16" s="162" t="s">
        <v>192</v>
      </c>
      <c r="V16" s="163" t="s">
        <v>196</v>
      </c>
    </row>
    <row r="17" spans="1:22">
      <c r="A17" s="158" t="s">
        <v>190</v>
      </c>
      <c r="B17" s="159">
        <v>48</v>
      </c>
      <c r="C17" s="159">
        <v>13</v>
      </c>
      <c r="D17" s="159">
        <v>7.1</v>
      </c>
      <c r="E17" s="159">
        <v>4.2</v>
      </c>
      <c r="F17" s="159">
        <v>4.5</v>
      </c>
      <c r="G17" s="159">
        <v>4.5</v>
      </c>
      <c r="H17" s="160">
        <f t="shared" si="0"/>
        <v>4.5</v>
      </c>
      <c r="I17" s="159">
        <v>0.94</v>
      </c>
      <c r="J17" s="159">
        <v>0.93</v>
      </c>
      <c r="K17" s="159">
        <v>0.76</v>
      </c>
      <c r="L17" s="159">
        <v>1.61</v>
      </c>
      <c r="M17" s="160">
        <f t="shared" si="1"/>
        <v>2.12</v>
      </c>
      <c r="N17" s="159">
        <v>2.9</v>
      </c>
      <c r="O17" s="160">
        <f t="shared" si="2"/>
        <v>10.238018480000001</v>
      </c>
      <c r="P17" s="159">
        <v>0.40844999999999998</v>
      </c>
      <c r="Q17" s="159">
        <v>2.7358500000000001</v>
      </c>
      <c r="R17" s="159">
        <v>1.57778</v>
      </c>
      <c r="S17" s="161">
        <v>3.52989</v>
      </c>
      <c r="T17" s="162" t="s">
        <v>191</v>
      </c>
      <c r="U17" s="162" t="s">
        <v>192</v>
      </c>
      <c r="V17" s="163" t="s">
        <v>196</v>
      </c>
    </row>
    <row r="18" spans="1:22">
      <c r="A18" s="158" t="s">
        <v>190</v>
      </c>
      <c r="B18" s="159">
        <v>50</v>
      </c>
      <c r="C18" s="159">
        <v>13</v>
      </c>
      <c r="D18" s="159">
        <v>8.5</v>
      </c>
      <c r="E18" s="159">
        <v>2.6</v>
      </c>
      <c r="F18" s="159">
        <v>4.5</v>
      </c>
      <c r="G18" s="159">
        <v>4.5</v>
      </c>
      <c r="H18" s="160">
        <f t="shared" si="0"/>
        <v>4.5</v>
      </c>
      <c r="I18" s="159">
        <v>1.1200000000000001</v>
      </c>
      <c r="J18" s="159">
        <v>1.05</v>
      </c>
      <c r="K18" s="159">
        <v>0.49</v>
      </c>
      <c r="L18" s="159">
        <v>0.76</v>
      </c>
      <c r="M18" s="160">
        <f t="shared" si="1"/>
        <v>1.71</v>
      </c>
      <c r="N18" s="159">
        <v>5.9</v>
      </c>
      <c r="O18" s="160">
        <f t="shared" si="2"/>
        <v>13.551595244999998</v>
      </c>
      <c r="P18" s="159">
        <v>0.69411999999999996</v>
      </c>
      <c r="Q18" s="159">
        <v>6.9005799999999997</v>
      </c>
      <c r="R18" s="159">
        <v>1.88889</v>
      </c>
      <c r="S18" s="161">
        <v>2.2965800000000001</v>
      </c>
      <c r="T18" s="162" t="s">
        <v>191</v>
      </c>
      <c r="U18" s="162" t="s">
        <v>192</v>
      </c>
      <c r="V18" s="163" t="s">
        <v>196</v>
      </c>
    </row>
    <row r="19" spans="1:22">
      <c r="A19" s="158" t="s">
        <v>190</v>
      </c>
      <c r="B19" s="159">
        <v>52</v>
      </c>
      <c r="C19" s="159">
        <v>13</v>
      </c>
      <c r="D19" s="159">
        <v>7</v>
      </c>
      <c r="E19" s="159">
        <v>2.2000000000000002</v>
      </c>
      <c r="F19" s="159">
        <v>6</v>
      </c>
      <c r="G19" s="159">
        <v>6</v>
      </c>
      <c r="H19" s="160">
        <f t="shared" si="0"/>
        <v>6</v>
      </c>
      <c r="I19" s="159">
        <v>0.86</v>
      </c>
      <c r="J19" s="159">
        <v>1.02</v>
      </c>
      <c r="K19" s="159">
        <v>1.19</v>
      </c>
      <c r="L19" s="159">
        <v>1.27</v>
      </c>
      <c r="M19" s="160">
        <f t="shared" si="1"/>
        <v>2.17</v>
      </c>
      <c r="N19" s="159">
        <v>4.8</v>
      </c>
      <c r="O19" s="160">
        <f t="shared" si="2"/>
        <v>17.754436559999998</v>
      </c>
      <c r="P19" s="159">
        <v>0.68571000000000004</v>
      </c>
      <c r="Q19" s="159">
        <v>4.4239600000000001</v>
      </c>
      <c r="R19" s="159">
        <v>1.1666700000000001</v>
      </c>
      <c r="S19" s="161">
        <v>3.6983600000000001</v>
      </c>
      <c r="T19" s="162" t="s">
        <v>191</v>
      </c>
      <c r="U19" s="162" t="s">
        <v>192</v>
      </c>
      <c r="V19" s="163" t="s">
        <v>196</v>
      </c>
    </row>
    <row r="20" spans="1:22">
      <c r="A20" s="158" t="s">
        <v>190</v>
      </c>
      <c r="B20" s="159">
        <v>54</v>
      </c>
      <c r="C20" s="159">
        <v>13</v>
      </c>
      <c r="D20" s="159">
        <v>6</v>
      </c>
      <c r="E20" s="159">
        <v>2.7</v>
      </c>
      <c r="F20" s="159">
        <v>5</v>
      </c>
      <c r="G20" s="159">
        <v>5.5</v>
      </c>
      <c r="H20" s="160">
        <f t="shared" si="0"/>
        <v>5.25</v>
      </c>
      <c r="I20" s="159">
        <v>1.03</v>
      </c>
      <c r="J20" s="159">
        <v>0.81</v>
      </c>
      <c r="K20" s="159">
        <v>1.21</v>
      </c>
      <c r="L20" s="159">
        <v>1.44</v>
      </c>
      <c r="M20" s="160">
        <f t="shared" si="1"/>
        <v>2.2450000000000001</v>
      </c>
      <c r="N20" s="159">
        <v>3.3</v>
      </c>
      <c r="O20" s="160">
        <f t="shared" si="2"/>
        <v>13.064500803750002</v>
      </c>
      <c r="P20" s="159">
        <v>0.55000000000000004</v>
      </c>
      <c r="Q20" s="159">
        <v>2.93987</v>
      </c>
      <c r="R20" s="159">
        <v>1.14286</v>
      </c>
      <c r="S20" s="161">
        <v>3.9584299999999999</v>
      </c>
      <c r="T20" s="162" t="s">
        <v>191</v>
      </c>
      <c r="U20" s="162" t="s">
        <v>192</v>
      </c>
      <c r="V20" s="163" t="s">
        <v>196</v>
      </c>
    </row>
    <row r="21" spans="1:22">
      <c r="A21" s="158" t="s">
        <v>190</v>
      </c>
      <c r="B21" s="159">
        <v>56</v>
      </c>
      <c r="C21" s="159">
        <v>13</v>
      </c>
      <c r="D21" s="159">
        <v>4.7</v>
      </c>
      <c r="E21" s="159">
        <v>2.2000000000000002</v>
      </c>
      <c r="F21" s="159">
        <v>5</v>
      </c>
      <c r="G21" s="159">
        <v>5.5</v>
      </c>
      <c r="H21" s="160">
        <f t="shared" si="0"/>
        <v>5.25</v>
      </c>
      <c r="I21" s="159">
        <v>1.55</v>
      </c>
      <c r="J21" s="159">
        <v>0.94</v>
      </c>
      <c r="K21" s="159">
        <v>0.89</v>
      </c>
      <c r="L21" s="159">
        <v>1.1599999999999999</v>
      </c>
      <c r="M21" s="160">
        <f t="shared" si="1"/>
        <v>2.27</v>
      </c>
      <c r="N21" s="159">
        <v>2.5</v>
      </c>
      <c r="O21" s="160">
        <f t="shared" si="2"/>
        <v>10.119007374999999</v>
      </c>
      <c r="P21" s="159">
        <v>0.53190999999999999</v>
      </c>
      <c r="Q21" s="159">
        <v>2.2026400000000002</v>
      </c>
      <c r="R21" s="159">
        <v>0.89524000000000004</v>
      </c>
      <c r="S21" s="161">
        <v>4.0470800000000002</v>
      </c>
      <c r="T21" s="162" t="s">
        <v>191</v>
      </c>
      <c r="U21" s="162" t="s">
        <v>192</v>
      </c>
      <c r="V21" s="163" t="s">
        <v>196</v>
      </c>
    </row>
    <row r="22" spans="1:22">
      <c r="A22" s="158" t="s">
        <v>190</v>
      </c>
      <c r="B22" s="159">
        <v>58</v>
      </c>
      <c r="C22" s="159">
        <v>13</v>
      </c>
      <c r="D22" s="159">
        <v>7</v>
      </c>
      <c r="E22" s="159">
        <v>2.2999999999999998</v>
      </c>
      <c r="F22" s="159">
        <v>6.5</v>
      </c>
      <c r="G22" s="159">
        <v>6.5</v>
      </c>
      <c r="H22" s="160">
        <f t="shared" si="0"/>
        <v>6.5</v>
      </c>
      <c r="I22" s="159">
        <v>1.44</v>
      </c>
      <c r="J22" s="159">
        <v>1.38</v>
      </c>
      <c r="K22" s="159">
        <v>1.51</v>
      </c>
      <c r="L22" s="159">
        <v>1.27</v>
      </c>
      <c r="M22" s="160">
        <f t="shared" si="1"/>
        <v>2.8</v>
      </c>
      <c r="N22" s="159">
        <v>4.7</v>
      </c>
      <c r="O22" s="160">
        <f t="shared" si="2"/>
        <v>28.944103999999996</v>
      </c>
      <c r="P22" s="159">
        <v>0.67142999999999997</v>
      </c>
      <c r="Q22" s="159">
        <v>3.3571399999999998</v>
      </c>
      <c r="R22" s="159">
        <v>1.0769200000000001</v>
      </c>
      <c r="S22" s="161">
        <v>6.1575199999999999</v>
      </c>
      <c r="T22" s="162" t="s">
        <v>191</v>
      </c>
      <c r="U22" s="162" t="s">
        <v>192</v>
      </c>
      <c r="V22" s="163" t="s">
        <v>196</v>
      </c>
    </row>
    <row r="23" spans="1:22">
      <c r="A23" s="158" t="s">
        <v>190</v>
      </c>
      <c r="B23" s="159">
        <v>60</v>
      </c>
      <c r="C23" s="159">
        <v>13</v>
      </c>
      <c r="D23" s="159">
        <v>6.5</v>
      </c>
      <c r="E23" s="159">
        <v>1.9</v>
      </c>
      <c r="F23" s="159">
        <v>5</v>
      </c>
      <c r="G23" s="159">
        <v>5.5</v>
      </c>
      <c r="H23" s="160">
        <f t="shared" si="0"/>
        <v>5.25</v>
      </c>
      <c r="I23" s="159">
        <v>1.04</v>
      </c>
      <c r="J23" s="159">
        <v>1.17</v>
      </c>
      <c r="K23" s="159">
        <v>0.76</v>
      </c>
      <c r="L23" s="159">
        <v>1.03</v>
      </c>
      <c r="M23" s="160">
        <f t="shared" si="1"/>
        <v>2</v>
      </c>
      <c r="N23" s="159">
        <v>4.5999999999999996</v>
      </c>
      <c r="O23" s="160">
        <f t="shared" si="2"/>
        <v>14.453199999999999</v>
      </c>
      <c r="P23" s="159">
        <v>0.70769000000000004</v>
      </c>
      <c r="Q23" s="159">
        <v>4.5999999999999996</v>
      </c>
      <c r="R23" s="159">
        <v>1.2381</v>
      </c>
      <c r="S23" s="161">
        <v>3.1415899999999999</v>
      </c>
      <c r="T23" s="162" t="s">
        <v>191</v>
      </c>
      <c r="U23" s="162" t="s">
        <v>192</v>
      </c>
      <c r="V23" s="163" t="s">
        <v>196</v>
      </c>
    </row>
    <row r="24" spans="1:22">
      <c r="A24" s="159" t="s">
        <v>190</v>
      </c>
      <c r="B24" s="159">
        <v>102</v>
      </c>
      <c r="C24" s="159">
        <v>24</v>
      </c>
      <c r="D24" s="159">
        <v>11.7</v>
      </c>
      <c r="E24" s="159">
        <v>6.1</v>
      </c>
      <c r="F24" s="159">
        <v>10</v>
      </c>
      <c r="G24" s="159">
        <v>10</v>
      </c>
      <c r="H24" s="160">
        <f t="shared" si="0"/>
        <v>10</v>
      </c>
      <c r="I24" s="159">
        <v>1</v>
      </c>
      <c r="J24" s="159">
        <v>1.36</v>
      </c>
      <c r="K24" s="159">
        <v>1.47</v>
      </c>
      <c r="L24" s="159">
        <v>1.59</v>
      </c>
      <c r="M24" s="160">
        <f t="shared" si="1"/>
        <v>2.71</v>
      </c>
      <c r="N24" s="159">
        <v>5.6</v>
      </c>
      <c r="O24" s="160">
        <f t="shared" si="2"/>
        <v>32.305227080000002</v>
      </c>
      <c r="P24" s="159">
        <v>0.47863</v>
      </c>
      <c r="Q24" s="159">
        <v>4.1328399999999998</v>
      </c>
      <c r="R24" s="159">
        <v>1.17</v>
      </c>
      <c r="S24" s="161">
        <v>5.7680400000000001</v>
      </c>
      <c r="T24" s="162" t="s">
        <v>191</v>
      </c>
      <c r="U24" s="162" t="s">
        <v>192</v>
      </c>
      <c r="V24" s="163" t="s">
        <v>197</v>
      </c>
    </row>
    <row r="25" spans="1:22">
      <c r="A25" s="159" t="s">
        <v>190</v>
      </c>
      <c r="B25" s="159">
        <v>104</v>
      </c>
      <c r="C25" s="159">
        <v>24</v>
      </c>
      <c r="D25" s="159">
        <v>11.9</v>
      </c>
      <c r="E25" s="159">
        <v>6.5</v>
      </c>
      <c r="F25" s="159">
        <v>11.5</v>
      </c>
      <c r="G25" s="159">
        <v>10.5</v>
      </c>
      <c r="H25" s="160">
        <f t="shared" si="0"/>
        <v>11</v>
      </c>
      <c r="I25" s="159">
        <v>1.94</v>
      </c>
      <c r="J25" s="159">
        <v>1.68</v>
      </c>
      <c r="K25" s="159">
        <v>1.8</v>
      </c>
      <c r="L25" s="159">
        <v>1.89</v>
      </c>
      <c r="M25" s="160">
        <f t="shared" si="1"/>
        <v>3.6549999999999998</v>
      </c>
      <c r="N25" s="159">
        <v>5.4</v>
      </c>
      <c r="O25" s="160">
        <f t="shared" si="2"/>
        <v>56.664976342499997</v>
      </c>
      <c r="P25" s="159">
        <v>0.45378000000000002</v>
      </c>
      <c r="Q25" s="159">
        <v>2.95486</v>
      </c>
      <c r="R25" s="159">
        <v>1.08182</v>
      </c>
      <c r="S25" s="161">
        <v>10.4922</v>
      </c>
      <c r="T25" s="162" t="s">
        <v>191</v>
      </c>
      <c r="U25" s="162" t="s">
        <v>192</v>
      </c>
      <c r="V25" s="163" t="s">
        <v>197</v>
      </c>
    </row>
    <row r="26" spans="1:22">
      <c r="A26" s="159" t="s">
        <v>190</v>
      </c>
      <c r="B26" s="159">
        <v>106</v>
      </c>
      <c r="C26" s="159">
        <v>24</v>
      </c>
      <c r="D26" s="159">
        <v>13.2</v>
      </c>
      <c r="E26" s="159">
        <v>7.6</v>
      </c>
      <c r="F26" s="159">
        <v>9.5</v>
      </c>
      <c r="G26" s="159">
        <v>10.5</v>
      </c>
      <c r="H26" s="160">
        <f t="shared" si="0"/>
        <v>10</v>
      </c>
      <c r="I26" s="159">
        <v>1.21</v>
      </c>
      <c r="J26" s="159">
        <v>1.22</v>
      </c>
      <c r="K26" s="159">
        <v>1.98</v>
      </c>
      <c r="L26" s="159">
        <v>1.19</v>
      </c>
      <c r="M26" s="160">
        <f t="shared" si="1"/>
        <v>2.8</v>
      </c>
      <c r="N26" s="159">
        <v>5.6</v>
      </c>
      <c r="O26" s="160">
        <f t="shared" si="2"/>
        <v>34.486591999999995</v>
      </c>
      <c r="P26" s="159">
        <v>0.42424000000000001</v>
      </c>
      <c r="Q26" s="159">
        <v>4</v>
      </c>
      <c r="R26" s="159">
        <v>1.32</v>
      </c>
      <c r="S26" s="161">
        <v>6.1575199999999999</v>
      </c>
      <c r="T26" s="162" t="s">
        <v>191</v>
      </c>
      <c r="U26" s="162" t="s">
        <v>192</v>
      </c>
      <c r="V26" s="163" t="s">
        <v>197</v>
      </c>
    </row>
    <row r="27" spans="1:22">
      <c r="A27" s="159" t="s">
        <v>190</v>
      </c>
      <c r="B27" s="159">
        <v>108</v>
      </c>
      <c r="C27" s="159">
        <v>24</v>
      </c>
      <c r="D27" s="159">
        <v>13.4</v>
      </c>
      <c r="E27" s="159">
        <v>6.6</v>
      </c>
      <c r="F27" s="159">
        <v>11.5</v>
      </c>
      <c r="G27" s="159">
        <v>11.5</v>
      </c>
      <c r="H27" s="160">
        <f t="shared" si="0"/>
        <v>11.5</v>
      </c>
      <c r="I27" s="159">
        <v>1.98</v>
      </c>
      <c r="J27" s="159">
        <v>2.04</v>
      </c>
      <c r="K27" s="159">
        <v>1.27</v>
      </c>
      <c r="L27" s="159">
        <v>1.64</v>
      </c>
      <c r="M27" s="160">
        <f t="shared" si="1"/>
        <v>3.4649999999999994</v>
      </c>
      <c r="N27" s="159">
        <v>6.8</v>
      </c>
      <c r="O27" s="160">
        <f t="shared" si="2"/>
        <v>64.130050214999969</v>
      </c>
      <c r="P27" s="159">
        <v>0.50746000000000002</v>
      </c>
      <c r="Q27" s="159">
        <v>3.92496</v>
      </c>
      <c r="R27" s="159">
        <v>1.1652199999999999</v>
      </c>
      <c r="S27" s="161">
        <v>9.4296699999999998</v>
      </c>
      <c r="T27" s="162" t="s">
        <v>191</v>
      </c>
      <c r="U27" s="162" t="s">
        <v>192</v>
      </c>
      <c r="V27" s="163" t="s">
        <v>197</v>
      </c>
    </row>
    <row r="28" spans="1:22">
      <c r="A28" s="159" t="s">
        <v>190</v>
      </c>
      <c r="B28" s="159">
        <v>110</v>
      </c>
      <c r="C28" s="159">
        <v>24</v>
      </c>
      <c r="D28" s="159">
        <v>13.4</v>
      </c>
      <c r="E28" s="159">
        <v>7.2</v>
      </c>
      <c r="F28" s="159">
        <v>9</v>
      </c>
      <c r="G28" s="159">
        <v>9.5</v>
      </c>
      <c r="H28" s="160">
        <f t="shared" si="0"/>
        <v>9.25</v>
      </c>
      <c r="I28" s="159">
        <v>2.2799999999999998</v>
      </c>
      <c r="J28" s="159">
        <v>1.1399999999999999</v>
      </c>
      <c r="K28" s="159">
        <v>0.85</v>
      </c>
      <c r="L28" s="159">
        <v>1.37</v>
      </c>
      <c r="M28" s="160">
        <f t="shared" si="1"/>
        <v>2.82</v>
      </c>
      <c r="N28" s="159">
        <v>6.2</v>
      </c>
      <c r="O28" s="160">
        <f t="shared" si="2"/>
        <v>38.728983239999998</v>
      </c>
      <c r="P28" s="159">
        <v>0.46268999999999999</v>
      </c>
      <c r="Q28" s="159">
        <v>4.3971600000000004</v>
      </c>
      <c r="R28" s="159">
        <v>1.44865</v>
      </c>
      <c r="S28" s="161">
        <v>6.2458</v>
      </c>
      <c r="T28" s="162" t="s">
        <v>191</v>
      </c>
      <c r="U28" s="162" t="s">
        <v>192</v>
      </c>
      <c r="V28" s="163" t="s">
        <v>197</v>
      </c>
    </row>
    <row r="29" spans="1:22">
      <c r="A29" s="159" t="s">
        <v>190</v>
      </c>
      <c r="B29" s="159">
        <v>112</v>
      </c>
      <c r="C29" s="159">
        <v>24</v>
      </c>
      <c r="D29" s="159">
        <v>13.5</v>
      </c>
      <c r="E29" s="159">
        <v>6.6</v>
      </c>
      <c r="F29" s="159">
        <v>11</v>
      </c>
      <c r="G29" s="159">
        <v>11</v>
      </c>
      <c r="H29" s="160">
        <f t="shared" si="0"/>
        <v>11</v>
      </c>
      <c r="I29" s="159">
        <v>1.74</v>
      </c>
      <c r="J29" s="159">
        <v>2.21</v>
      </c>
      <c r="K29" s="159">
        <v>1.96</v>
      </c>
      <c r="L29" s="159">
        <v>2.52</v>
      </c>
      <c r="M29" s="160">
        <f t="shared" si="1"/>
        <v>4.2149999999999999</v>
      </c>
      <c r="N29" s="159">
        <v>6.9</v>
      </c>
      <c r="O29" s="160">
        <f t="shared" si="2"/>
        <v>96.292051188749994</v>
      </c>
      <c r="P29" s="159">
        <v>0.51110999999999995</v>
      </c>
      <c r="Q29" s="159">
        <v>3.2740200000000002</v>
      </c>
      <c r="R29" s="159">
        <v>1.2272700000000001</v>
      </c>
      <c r="S29" s="161">
        <v>13.9536</v>
      </c>
      <c r="T29" s="162" t="s">
        <v>191</v>
      </c>
      <c r="U29" s="162" t="s">
        <v>192</v>
      </c>
      <c r="V29" s="163" t="s">
        <v>197</v>
      </c>
    </row>
    <row r="30" spans="1:22">
      <c r="A30" s="159" t="s">
        <v>190</v>
      </c>
      <c r="B30" s="159">
        <v>114</v>
      </c>
      <c r="C30" s="159">
        <v>24</v>
      </c>
      <c r="D30" s="159">
        <v>12.3</v>
      </c>
      <c r="E30" s="159">
        <v>6.7</v>
      </c>
      <c r="F30" s="159">
        <v>9</v>
      </c>
      <c r="G30" s="159">
        <v>9.5</v>
      </c>
      <c r="H30" s="160">
        <f t="shared" si="0"/>
        <v>9.25</v>
      </c>
      <c r="I30" s="159">
        <v>1.53</v>
      </c>
      <c r="J30" s="159">
        <v>1.1299999999999999</v>
      </c>
      <c r="K30" s="159">
        <v>1.29</v>
      </c>
      <c r="L30" s="159">
        <v>1.38</v>
      </c>
      <c r="M30" s="160">
        <f t="shared" si="1"/>
        <v>2.665</v>
      </c>
      <c r="N30" s="159">
        <v>5.6</v>
      </c>
      <c r="O30" s="160">
        <f t="shared" si="2"/>
        <v>31.241267329999996</v>
      </c>
      <c r="P30" s="159">
        <v>0.45528000000000002</v>
      </c>
      <c r="Q30" s="159">
        <v>4.2026300000000001</v>
      </c>
      <c r="R30" s="159">
        <v>1.3297300000000001</v>
      </c>
      <c r="S30" s="161">
        <v>5.5780700000000003</v>
      </c>
      <c r="T30" s="162" t="s">
        <v>191</v>
      </c>
      <c r="U30" s="162" t="s">
        <v>192</v>
      </c>
      <c r="V30" s="163" t="s">
        <v>197</v>
      </c>
    </row>
    <row r="31" spans="1:22">
      <c r="A31" s="159" t="s">
        <v>190</v>
      </c>
      <c r="B31" s="159">
        <v>116</v>
      </c>
      <c r="C31" s="159">
        <v>24</v>
      </c>
      <c r="D31" s="159">
        <v>12.9</v>
      </c>
      <c r="E31" s="159">
        <v>6.3</v>
      </c>
      <c r="F31" s="159">
        <v>10.5</v>
      </c>
      <c r="G31" s="159">
        <v>11</v>
      </c>
      <c r="H31" s="160">
        <f t="shared" si="0"/>
        <v>10.75</v>
      </c>
      <c r="I31" s="159">
        <v>1.94</v>
      </c>
      <c r="J31" s="159">
        <v>1.98</v>
      </c>
      <c r="K31" s="159">
        <v>2.1</v>
      </c>
      <c r="L31" s="159">
        <v>1.56</v>
      </c>
      <c r="M31" s="160">
        <f t="shared" si="1"/>
        <v>3.79</v>
      </c>
      <c r="N31" s="159">
        <v>6.6</v>
      </c>
      <c r="O31" s="160">
        <f t="shared" si="2"/>
        <v>74.467803630000006</v>
      </c>
      <c r="P31" s="159">
        <v>0.51163000000000003</v>
      </c>
      <c r="Q31" s="159">
        <v>3.48285</v>
      </c>
      <c r="R31" s="159">
        <v>1.2</v>
      </c>
      <c r="S31" s="161">
        <v>11.281499999999999</v>
      </c>
      <c r="T31" s="162" t="s">
        <v>191</v>
      </c>
      <c r="U31" s="162" t="s">
        <v>192</v>
      </c>
      <c r="V31" s="163" t="s">
        <v>197</v>
      </c>
    </row>
    <row r="32" spans="1:22">
      <c r="A32" s="159" t="s">
        <v>190</v>
      </c>
      <c r="B32" s="159">
        <v>118</v>
      </c>
      <c r="C32" s="159">
        <v>24</v>
      </c>
      <c r="D32" s="159">
        <v>12.6</v>
      </c>
      <c r="E32" s="159">
        <v>4.4000000000000004</v>
      </c>
      <c r="F32" s="159">
        <v>8.5</v>
      </c>
      <c r="G32" s="159">
        <v>9</v>
      </c>
      <c r="H32" s="160">
        <f t="shared" si="0"/>
        <v>8.75</v>
      </c>
      <c r="I32" s="159">
        <v>1.44</v>
      </c>
      <c r="J32" s="159">
        <v>1.26</v>
      </c>
      <c r="K32" s="159">
        <v>2.37</v>
      </c>
      <c r="L32" s="159">
        <v>1.93</v>
      </c>
      <c r="M32" s="160">
        <f t="shared" si="1"/>
        <v>3.5</v>
      </c>
      <c r="N32" s="159">
        <v>8.1999999999999993</v>
      </c>
      <c r="O32" s="160">
        <f t="shared" si="2"/>
        <v>78.903474999999986</v>
      </c>
      <c r="P32" s="159">
        <v>0.65078999999999998</v>
      </c>
      <c r="Q32" s="159">
        <v>4.6857100000000003</v>
      </c>
      <c r="R32" s="159">
        <v>1.44</v>
      </c>
      <c r="S32" s="161">
        <v>9.6211300000000008</v>
      </c>
      <c r="T32" s="162" t="s">
        <v>191</v>
      </c>
      <c r="U32" s="162" t="s">
        <v>192</v>
      </c>
      <c r="V32" s="163" t="s">
        <v>197</v>
      </c>
    </row>
    <row r="33" spans="1:22">
      <c r="A33" s="159" t="s">
        <v>190</v>
      </c>
      <c r="B33" s="159">
        <v>120</v>
      </c>
      <c r="C33" s="159">
        <v>24</v>
      </c>
      <c r="D33" s="159">
        <v>12.6</v>
      </c>
      <c r="E33" s="159">
        <v>6.2</v>
      </c>
      <c r="F33" s="159">
        <v>9.5</v>
      </c>
      <c r="G33" s="159">
        <v>10</v>
      </c>
      <c r="H33" s="160">
        <f t="shared" si="0"/>
        <v>9.75</v>
      </c>
      <c r="I33" s="159">
        <v>1.38</v>
      </c>
      <c r="J33" s="159">
        <v>1.82</v>
      </c>
      <c r="K33" s="159">
        <v>1.29</v>
      </c>
      <c r="L33" s="159">
        <v>1.34</v>
      </c>
      <c r="M33" s="160">
        <f t="shared" si="1"/>
        <v>2.915</v>
      </c>
      <c r="N33" s="159">
        <v>6.4</v>
      </c>
      <c r="O33" s="160">
        <f t="shared" si="2"/>
        <v>42.717249520000003</v>
      </c>
      <c r="P33" s="159">
        <v>0.50793999999999995</v>
      </c>
      <c r="Q33" s="159">
        <v>4.3910799999999997</v>
      </c>
      <c r="R33" s="159">
        <v>1.2923100000000001</v>
      </c>
      <c r="S33" s="161">
        <v>6.6737000000000002</v>
      </c>
      <c r="T33" s="162" t="s">
        <v>191</v>
      </c>
      <c r="U33" s="162" t="s">
        <v>192</v>
      </c>
      <c r="V33" s="163" t="s">
        <v>197</v>
      </c>
    </row>
    <row r="34" spans="1:22">
      <c r="A34" s="159" t="s">
        <v>190</v>
      </c>
      <c r="B34" s="159">
        <v>10</v>
      </c>
      <c r="C34" s="159">
        <v>30</v>
      </c>
      <c r="D34" s="159">
        <v>12.4</v>
      </c>
      <c r="E34" s="159">
        <v>5.7</v>
      </c>
      <c r="F34" s="159">
        <v>12.5</v>
      </c>
      <c r="G34" s="159">
        <v>12.5</v>
      </c>
      <c r="H34" s="160">
        <f t="shared" si="0"/>
        <v>12.5</v>
      </c>
      <c r="I34" s="159">
        <v>1.91</v>
      </c>
      <c r="J34" s="159">
        <v>2.1</v>
      </c>
      <c r="K34" s="159">
        <v>2.04</v>
      </c>
      <c r="L34" s="159">
        <v>1.55</v>
      </c>
      <c r="M34" s="160">
        <f t="shared" si="1"/>
        <v>3.8</v>
      </c>
      <c r="N34" s="159">
        <v>6.7</v>
      </c>
      <c r="O34" s="160">
        <f t="shared" si="2"/>
        <v>75.995553999999998</v>
      </c>
      <c r="P34" s="159">
        <v>0.54032000000000002</v>
      </c>
      <c r="Q34" s="159">
        <v>3.5263200000000001</v>
      </c>
      <c r="R34" s="159">
        <v>0.99199999999999999</v>
      </c>
      <c r="S34" s="161">
        <v>11.341100000000001</v>
      </c>
      <c r="T34" s="162" t="s">
        <v>191</v>
      </c>
      <c r="U34" s="162" t="s">
        <v>192</v>
      </c>
      <c r="V34" s="163" t="s">
        <v>198</v>
      </c>
    </row>
    <row r="35" spans="1:22">
      <c r="A35" s="159" t="s">
        <v>190</v>
      </c>
      <c r="B35" s="159">
        <v>2</v>
      </c>
      <c r="C35" s="159">
        <v>30</v>
      </c>
      <c r="D35" s="159">
        <v>11.8</v>
      </c>
      <c r="E35" s="159">
        <v>6.4</v>
      </c>
      <c r="F35" s="159">
        <v>10</v>
      </c>
      <c r="G35" s="159">
        <v>12</v>
      </c>
      <c r="H35" s="160">
        <f t="shared" si="0"/>
        <v>11</v>
      </c>
      <c r="I35" s="159">
        <v>1.49</v>
      </c>
      <c r="J35" s="159">
        <v>1.49</v>
      </c>
      <c r="K35" s="159">
        <v>1.3</v>
      </c>
      <c r="L35" s="159">
        <v>2.23</v>
      </c>
      <c r="M35" s="160">
        <f t="shared" si="1"/>
        <v>3.2549999999999999</v>
      </c>
      <c r="N35" s="159">
        <v>5.4</v>
      </c>
      <c r="O35" s="160">
        <f t="shared" si="2"/>
        <v>44.940917542500003</v>
      </c>
      <c r="P35" s="159">
        <v>0.45762999999999998</v>
      </c>
      <c r="Q35" s="159">
        <v>3.3179699999999999</v>
      </c>
      <c r="R35" s="159">
        <v>1.07273</v>
      </c>
      <c r="S35" s="161">
        <v>8.3213100000000004</v>
      </c>
      <c r="T35" s="162" t="s">
        <v>191</v>
      </c>
      <c r="U35" s="162" t="s">
        <v>192</v>
      </c>
      <c r="V35" s="163" t="s">
        <v>198</v>
      </c>
    </row>
    <row r="36" spans="1:22">
      <c r="A36" s="159" t="s">
        <v>190</v>
      </c>
      <c r="B36" s="159">
        <v>4</v>
      </c>
      <c r="C36" s="159">
        <v>30</v>
      </c>
      <c r="D36" s="159">
        <v>13.2</v>
      </c>
      <c r="E36" s="159">
        <v>6.7</v>
      </c>
      <c r="F36" s="159">
        <v>12</v>
      </c>
      <c r="G36" s="159">
        <v>12.5</v>
      </c>
      <c r="H36" s="160">
        <f t="shared" si="0"/>
        <v>12.25</v>
      </c>
      <c r="I36" s="159">
        <v>1.96</v>
      </c>
      <c r="J36" s="159">
        <v>1.56</v>
      </c>
      <c r="K36" s="159">
        <v>1.76</v>
      </c>
      <c r="L36" s="159">
        <v>1.99</v>
      </c>
      <c r="M36" s="160">
        <f t="shared" si="1"/>
        <v>3.6350000000000002</v>
      </c>
      <c r="N36" s="159">
        <v>6.5</v>
      </c>
      <c r="O36" s="160">
        <f t="shared" si="2"/>
        <v>67.463423543750011</v>
      </c>
      <c r="P36" s="159">
        <v>0.49242000000000002</v>
      </c>
      <c r="Q36" s="159">
        <v>3.5763400000000001</v>
      </c>
      <c r="R36" s="159">
        <v>1.07755</v>
      </c>
      <c r="S36" s="161">
        <v>10.377599999999999</v>
      </c>
      <c r="T36" s="162" t="s">
        <v>191</v>
      </c>
      <c r="U36" s="162" t="s">
        <v>192</v>
      </c>
      <c r="V36" s="163" t="s">
        <v>198</v>
      </c>
    </row>
    <row r="37" spans="1:22">
      <c r="A37" s="159" t="s">
        <v>190</v>
      </c>
      <c r="B37" s="159">
        <v>6</v>
      </c>
      <c r="C37" s="159">
        <v>30</v>
      </c>
      <c r="D37" s="159">
        <v>10.6</v>
      </c>
      <c r="E37" s="159">
        <v>5.5</v>
      </c>
      <c r="F37" s="159">
        <v>8</v>
      </c>
      <c r="G37" s="159">
        <v>9.5</v>
      </c>
      <c r="H37" s="160">
        <f t="shared" si="0"/>
        <v>8.75</v>
      </c>
      <c r="I37" s="159">
        <v>1.04</v>
      </c>
      <c r="J37" s="159">
        <v>2.57</v>
      </c>
      <c r="K37" s="159">
        <v>1.23</v>
      </c>
      <c r="L37" s="159">
        <v>1.06</v>
      </c>
      <c r="M37" s="160">
        <f t="shared" si="1"/>
        <v>2.95</v>
      </c>
      <c r="N37" s="159">
        <v>5.0999999999999996</v>
      </c>
      <c r="O37" s="160">
        <f t="shared" si="2"/>
        <v>34.862650124999995</v>
      </c>
      <c r="P37" s="159">
        <v>0.48113</v>
      </c>
      <c r="Q37" s="159">
        <v>3.45763</v>
      </c>
      <c r="R37" s="159">
        <v>1.21143</v>
      </c>
      <c r="S37" s="161">
        <v>6.8349299999999999</v>
      </c>
      <c r="T37" s="162" t="s">
        <v>191</v>
      </c>
      <c r="U37" s="162" t="s">
        <v>192</v>
      </c>
      <c r="V37" s="163" t="s">
        <v>198</v>
      </c>
    </row>
    <row r="38" spans="1:22">
      <c r="A38" s="159" t="s">
        <v>190</v>
      </c>
      <c r="B38" s="159">
        <v>8</v>
      </c>
      <c r="C38" s="159">
        <v>30</v>
      </c>
      <c r="D38" s="159">
        <v>10.199999999999999</v>
      </c>
      <c r="E38" s="159">
        <v>5.9</v>
      </c>
      <c r="F38" s="159">
        <v>12.5</v>
      </c>
      <c r="G38" s="159">
        <v>12</v>
      </c>
      <c r="H38" s="160">
        <f t="shared" si="0"/>
        <v>12.25</v>
      </c>
      <c r="I38" s="159">
        <v>2.88</v>
      </c>
      <c r="J38" s="159">
        <v>2.2599999999999998</v>
      </c>
      <c r="K38" s="159">
        <v>2.16</v>
      </c>
      <c r="L38" s="159">
        <v>2.16</v>
      </c>
      <c r="M38" s="160">
        <f t="shared" si="1"/>
        <v>4.7300000000000004</v>
      </c>
      <c r="N38" s="159">
        <v>4.3</v>
      </c>
      <c r="O38" s="160">
        <f t="shared" si="2"/>
        <v>75.567825685000017</v>
      </c>
      <c r="P38" s="159">
        <v>0.42157</v>
      </c>
      <c r="Q38" s="159">
        <v>1.8181799999999999</v>
      </c>
      <c r="R38" s="159">
        <v>0.83265</v>
      </c>
      <c r="S38" s="161">
        <v>17.5716</v>
      </c>
      <c r="T38" s="162" t="s">
        <v>191</v>
      </c>
      <c r="U38" s="162" t="s">
        <v>192</v>
      </c>
      <c r="V38" s="163" t="s">
        <v>198</v>
      </c>
    </row>
    <row r="39" spans="1:22">
      <c r="A39" s="159" t="s">
        <v>190</v>
      </c>
      <c r="B39" s="159">
        <v>12</v>
      </c>
      <c r="C39" s="159">
        <v>30</v>
      </c>
      <c r="D39" s="159">
        <v>11.3</v>
      </c>
      <c r="E39" s="159">
        <v>5.5</v>
      </c>
      <c r="F39" s="159">
        <v>9</v>
      </c>
      <c r="G39" s="159">
        <v>9</v>
      </c>
      <c r="H39" s="160">
        <f t="shared" si="0"/>
        <v>9</v>
      </c>
      <c r="I39" s="159">
        <v>1.38</v>
      </c>
      <c r="J39" s="159">
        <v>1.85</v>
      </c>
      <c r="K39" s="159">
        <v>1.42</v>
      </c>
      <c r="L39" s="159">
        <v>0.99</v>
      </c>
      <c r="M39" s="160">
        <f t="shared" si="1"/>
        <v>2.8200000000000003</v>
      </c>
      <c r="N39" s="159">
        <v>5.8</v>
      </c>
      <c r="O39" s="160">
        <f t="shared" si="2"/>
        <v>36.230339160000007</v>
      </c>
      <c r="P39" s="159">
        <v>0.51327</v>
      </c>
      <c r="Q39" s="159">
        <v>4.11348</v>
      </c>
      <c r="R39" s="159">
        <v>1.25556</v>
      </c>
      <c r="S39" s="161">
        <v>6.2458</v>
      </c>
      <c r="T39" s="162" t="s">
        <v>191</v>
      </c>
      <c r="U39" s="162" t="s">
        <v>192</v>
      </c>
      <c r="V39" s="163" t="s">
        <v>198</v>
      </c>
    </row>
    <row r="40" spans="1:22">
      <c r="A40" s="159" t="s">
        <v>190</v>
      </c>
      <c r="B40" s="159">
        <v>14</v>
      </c>
      <c r="C40" s="159">
        <v>30</v>
      </c>
      <c r="D40" s="159">
        <v>12.1</v>
      </c>
      <c r="E40" s="159">
        <v>7.2</v>
      </c>
      <c r="F40" s="159">
        <v>13</v>
      </c>
      <c r="G40" s="159">
        <v>13.5</v>
      </c>
      <c r="H40" s="160">
        <f t="shared" si="0"/>
        <v>13.25</v>
      </c>
      <c r="I40" s="159">
        <v>1.77</v>
      </c>
      <c r="J40" s="159">
        <v>1.48</v>
      </c>
      <c r="K40" s="159">
        <v>2.0299999999999998</v>
      </c>
      <c r="L40" s="159">
        <v>2.21</v>
      </c>
      <c r="M40" s="160">
        <f t="shared" si="1"/>
        <v>3.7449999999999997</v>
      </c>
      <c r="N40" s="159">
        <v>4.9000000000000004</v>
      </c>
      <c r="O40" s="160">
        <f t="shared" si="2"/>
        <v>53.981619973749993</v>
      </c>
      <c r="P40" s="159">
        <v>0.40495999999999999</v>
      </c>
      <c r="Q40" s="159">
        <v>2.6168200000000001</v>
      </c>
      <c r="R40" s="159">
        <v>0.91320999999999997</v>
      </c>
      <c r="S40" s="161">
        <v>11.0152</v>
      </c>
      <c r="T40" s="162" t="s">
        <v>191</v>
      </c>
      <c r="U40" s="162" t="s">
        <v>192</v>
      </c>
      <c r="V40" s="163" t="s">
        <v>198</v>
      </c>
    </row>
    <row r="41" spans="1:22">
      <c r="A41" s="159" t="s">
        <v>190</v>
      </c>
      <c r="B41" s="159">
        <v>16</v>
      </c>
      <c r="C41" s="159">
        <v>30</v>
      </c>
      <c r="D41" s="159">
        <v>12.1</v>
      </c>
      <c r="E41" s="159">
        <v>6.2</v>
      </c>
      <c r="F41" s="159">
        <v>14</v>
      </c>
      <c r="G41" s="159">
        <v>15</v>
      </c>
      <c r="H41" s="160">
        <f t="shared" si="0"/>
        <v>14.5</v>
      </c>
      <c r="I41" s="159">
        <v>2.0299999999999998</v>
      </c>
      <c r="J41" s="159">
        <v>1.83</v>
      </c>
      <c r="K41" s="159">
        <v>1.82</v>
      </c>
      <c r="L41" s="159">
        <v>1.27</v>
      </c>
      <c r="M41" s="160">
        <f t="shared" si="1"/>
        <v>3.4749999999999996</v>
      </c>
      <c r="N41" s="159">
        <v>5.9</v>
      </c>
      <c r="O41" s="160">
        <f t="shared" si="2"/>
        <v>55.963880281249985</v>
      </c>
      <c r="P41" s="159">
        <v>0.48759999999999998</v>
      </c>
      <c r="Q41" s="159">
        <v>3.39568</v>
      </c>
      <c r="R41" s="159">
        <v>0.83448</v>
      </c>
      <c r="S41" s="161">
        <v>9.4841700000000007</v>
      </c>
      <c r="T41" s="162" t="s">
        <v>191</v>
      </c>
      <c r="U41" s="162" t="s">
        <v>192</v>
      </c>
      <c r="V41" s="163" t="s">
        <v>198</v>
      </c>
    </row>
    <row r="42" spans="1:22">
      <c r="A42" s="159" t="s">
        <v>190</v>
      </c>
      <c r="B42" s="159">
        <v>18</v>
      </c>
      <c r="C42" s="159">
        <v>30</v>
      </c>
      <c r="D42" s="159">
        <v>11.4</v>
      </c>
      <c r="E42" s="159">
        <v>6.1</v>
      </c>
      <c r="F42" s="159">
        <v>12</v>
      </c>
      <c r="G42" s="159">
        <v>12</v>
      </c>
      <c r="H42" s="160">
        <f t="shared" si="0"/>
        <v>12</v>
      </c>
      <c r="I42" s="159">
        <v>1.65</v>
      </c>
      <c r="J42" s="159">
        <v>1.28</v>
      </c>
      <c r="K42" s="159">
        <v>1.56</v>
      </c>
      <c r="L42" s="159">
        <v>1.36</v>
      </c>
      <c r="M42" s="160">
        <f t="shared" si="1"/>
        <v>2.9250000000000003</v>
      </c>
      <c r="N42" s="159">
        <v>5.3</v>
      </c>
      <c r="O42" s="160">
        <f t="shared" si="2"/>
        <v>35.618350218750003</v>
      </c>
      <c r="P42" s="159">
        <v>0.46490999999999999</v>
      </c>
      <c r="Q42" s="159">
        <v>3.6239300000000001</v>
      </c>
      <c r="R42" s="159">
        <v>0.95</v>
      </c>
      <c r="S42" s="161">
        <v>6.71957</v>
      </c>
      <c r="T42" s="162" t="s">
        <v>191</v>
      </c>
      <c r="U42" s="162" t="s">
        <v>192</v>
      </c>
      <c r="V42" s="163" t="s">
        <v>198</v>
      </c>
    </row>
    <row r="43" spans="1:22">
      <c r="A43" s="159" t="s">
        <v>190</v>
      </c>
      <c r="B43" s="159">
        <v>20</v>
      </c>
      <c r="C43" s="159">
        <v>30</v>
      </c>
      <c r="D43" s="159">
        <v>12.1</v>
      </c>
      <c r="E43" s="159">
        <v>5.9</v>
      </c>
      <c r="F43" s="159">
        <v>11</v>
      </c>
      <c r="G43" s="159">
        <v>11.5</v>
      </c>
      <c r="H43" s="160">
        <f t="shared" si="0"/>
        <v>11.25</v>
      </c>
      <c r="I43" s="159">
        <v>1.51</v>
      </c>
      <c r="J43" s="159">
        <v>2.41</v>
      </c>
      <c r="K43" s="159">
        <v>1.17</v>
      </c>
      <c r="L43" s="159">
        <v>1.56</v>
      </c>
      <c r="M43" s="160">
        <f t="shared" si="1"/>
        <v>3.3250000000000002</v>
      </c>
      <c r="N43" s="159">
        <v>6.2</v>
      </c>
      <c r="O43" s="160">
        <f t="shared" si="2"/>
        <v>53.841999312500008</v>
      </c>
      <c r="P43" s="159">
        <v>0.51239999999999997</v>
      </c>
      <c r="Q43" s="159">
        <v>3.72932</v>
      </c>
      <c r="R43" s="159">
        <v>1.0755600000000001</v>
      </c>
      <c r="S43" s="161">
        <v>8.6830700000000007</v>
      </c>
      <c r="T43" s="162" t="s">
        <v>191</v>
      </c>
      <c r="U43" s="162" t="s">
        <v>192</v>
      </c>
      <c r="V43" s="163" t="s">
        <v>198</v>
      </c>
    </row>
    <row r="44" spans="1:22">
      <c r="A44" s="158" t="s">
        <v>190</v>
      </c>
      <c r="B44" s="159">
        <v>82</v>
      </c>
      <c r="C44" s="159">
        <v>39</v>
      </c>
      <c r="D44" s="159">
        <v>18.7</v>
      </c>
      <c r="E44" s="159">
        <v>9.9</v>
      </c>
      <c r="F44" s="159">
        <v>20</v>
      </c>
      <c r="G44" s="159">
        <v>19.5</v>
      </c>
      <c r="H44" s="160">
        <f t="shared" si="0"/>
        <v>19.75</v>
      </c>
      <c r="I44" s="159">
        <v>2.61</v>
      </c>
      <c r="J44" s="159">
        <v>3.84</v>
      </c>
      <c r="K44" s="159">
        <v>1.68</v>
      </c>
      <c r="L44" s="159">
        <v>1.49</v>
      </c>
      <c r="M44" s="160">
        <f t="shared" si="1"/>
        <v>4.8099999999999996</v>
      </c>
      <c r="N44" s="159">
        <v>8.8000000000000007</v>
      </c>
      <c r="O44" s="160">
        <f t="shared" si="2"/>
        <v>159.92597763999999</v>
      </c>
      <c r="P44" s="159">
        <v>0.47060000000000002</v>
      </c>
      <c r="Q44" s="159">
        <v>3.6589999999999998</v>
      </c>
      <c r="R44" s="159">
        <v>0.94679999999999997</v>
      </c>
      <c r="S44" s="161">
        <v>18.171050000000001</v>
      </c>
      <c r="T44" s="162" t="s">
        <v>199</v>
      </c>
      <c r="U44" s="162" t="s">
        <v>200</v>
      </c>
      <c r="V44" s="163" t="s">
        <v>201</v>
      </c>
    </row>
    <row r="45" spans="1:22">
      <c r="A45" s="158" t="s">
        <v>190</v>
      </c>
      <c r="B45" s="159">
        <v>84</v>
      </c>
      <c r="C45" s="159">
        <v>39</v>
      </c>
      <c r="D45" s="159">
        <v>19.7</v>
      </c>
      <c r="E45" s="159">
        <v>9.6</v>
      </c>
      <c r="F45" s="159">
        <v>22</v>
      </c>
      <c r="G45" s="159">
        <v>23.5</v>
      </c>
      <c r="H45" s="160">
        <f t="shared" si="0"/>
        <v>22.75</v>
      </c>
      <c r="I45" s="159">
        <v>3.12</v>
      </c>
      <c r="J45" s="159">
        <v>2.68</v>
      </c>
      <c r="K45" s="159">
        <v>0.73</v>
      </c>
      <c r="L45" s="159">
        <v>2.66</v>
      </c>
      <c r="M45" s="160">
        <f t="shared" si="1"/>
        <v>4.5950000000000006</v>
      </c>
      <c r="N45" s="159">
        <v>10.1</v>
      </c>
      <c r="O45" s="160">
        <f t="shared" si="2"/>
        <v>167.50917303875002</v>
      </c>
      <c r="P45" s="159">
        <v>0.51270000000000004</v>
      </c>
      <c r="Q45" s="159">
        <v>4.3960999999999997</v>
      </c>
      <c r="R45" s="159">
        <v>0.8659</v>
      </c>
      <c r="S45" s="161">
        <v>16.582916000000001</v>
      </c>
      <c r="T45" s="162" t="s">
        <v>199</v>
      </c>
      <c r="U45" s="162" t="s">
        <v>200</v>
      </c>
      <c r="V45" s="163" t="s">
        <v>201</v>
      </c>
    </row>
    <row r="46" spans="1:22">
      <c r="A46" s="158" t="s">
        <v>190</v>
      </c>
      <c r="B46" s="159">
        <v>86</v>
      </c>
      <c r="C46" s="159">
        <v>39</v>
      </c>
      <c r="D46" s="159">
        <v>18.399999999999999</v>
      </c>
      <c r="E46" s="159">
        <v>9.9</v>
      </c>
      <c r="F46" s="159">
        <v>21.5</v>
      </c>
      <c r="G46" s="159">
        <v>19.5</v>
      </c>
      <c r="H46" s="160">
        <f t="shared" si="0"/>
        <v>20.5</v>
      </c>
      <c r="I46" s="159">
        <v>1.75</v>
      </c>
      <c r="J46" s="159">
        <v>2.73</v>
      </c>
      <c r="K46" s="159">
        <v>3.48</v>
      </c>
      <c r="L46" s="159">
        <v>2.4300000000000002</v>
      </c>
      <c r="M46" s="160">
        <f t="shared" si="1"/>
        <v>5.1950000000000003</v>
      </c>
      <c r="N46" s="159">
        <v>8.5</v>
      </c>
      <c r="O46" s="160">
        <f t="shared" si="2"/>
        <v>180.19229591875003</v>
      </c>
      <c r="P46" s="159">
        <v>0.46200000000000002</v>
      </c>
      <c r="Q46" s="159">
        <v>3.2724000000000002</v>
      </c>
      <c r="R46" s="159">
        <v>0.89759999999999995</v>
      </c>
      <c r="S46" s="161">
        <v>21.196345000000001</v>
      </c>
      <c r="T46" s="162" t="s">
        <v>199</v>
      </c>
      <c r="U46" s="162" t="s">
        <v>200</v>
      </c>
      <c r="V46" s="163" t="s">
        <v>201</v>
      </c>
    </row>
    <row r="47" spans="1:22">
      <c r="A47" s="158" t="s">
        <v>190</v>
      </c>
      <c r="B47" s="159">
        <v>88</v>
      </c>
      <c r="C47" s="159">
        <v>39</v>
      </c>
      <c r="D47" s="159">
        <v>18.5</v>
      </c>
      <c r="E47" s="159">
        <v>9.6999999999999993</v>
      </c>
      <c r="F47" s="159">
        <v>18</v>
      </c>
      <c r="G47" s="159">
        <v>20</v>
      </c>
      <c r="H47" s="160">
        <f t="shared" si="0"/>
        <v>19</v>
      </c>
      <c r="I47" s="159">
        <v>3.26</v>
      </c>
      <c r="J47" s="159">
        <v>2.79</v>
      </c>
      <c r="K47" s="159">
        <v>1.21</v>
      </c>
      <c r="L47" s="159">
        <v>2.96</v>
      </c>
      <c r="M47" s="160">
        <f t="shared" si="1"/>
        <v>5.1099999999999994</v>
      </c>
      <c r="N47" s="159">
        <v>8.8000000000000007</v>
      </c>
      <c r="O47" s="160">
        <f t="shared" si="2"/>
        <v>180.49728003999996</v>
      </c>
      <c r="P47" s="159">
        <v>0.47570000000000001</v>
      </c>
      <c r="Q47" s="159">
        <v>3.4441999999999999</v>
      </c>
      <c r="R47" s="159">
        <v>0.97370000000000001</v>
      </c>
      <c r="S47" s="161">
        <v>20.508395</v>
      </c>
      <c r="T47" s="162" t="s">
        <v>199</v>
      </c>
      <c r="U47" s="162" t="s">
        <v>200</v>
      </c>
      <c r="V47" s="163" t="s">
        <v>201</v>
      </c>
    </row>
    <row r="48" spans="1:22">
      <c r="A48" s="158" t="s">
        <v>190</v>
      </c>
      <c r="B48" s="159">
        <v>90</v>
      </c>
      <c r="C48" s="159">
        <v>39</v>
      </c>
      <c r="D48" s="159">
        <v>19.7</v>
      </c>
      <c r="E48" s="159">
        <v>10.199999999999999</v>
      </c>
      <c r="F48" s="159">
        <v>23.5</v>
      </c>
      <c r="G48" s="159">
        <v>25</v>
      </c>
      <c r="H48" s="160">
        <f t="shared" si="0"/>
        <v>24.25</v>
      </c>
      <c r="I48" s="159">
        <v>2.0699999999999998</v>
      </c>
      <c r="J48" s="159">
        <v>3.66</v>
      </c>
      <c r="K48" s="159">
        <v>2.38</v>
      </c>
      <c r="L48" s="159">
        <v>2.36</v>
      </c>
      <c r="M48" s="160">
        <f t="shared" si="1"/>
        <v>5.2349999999999994</v>
      </c>
      <c r="N48" s="159">
        <v>9.5</v>
      </c>
      <c r="O48" s="160">
        <f t="shared" si="2"/>
        <v>204.50464025624996</v>
      </c>
      <c r="P48" s="159">
        <v>0.48220000000000002</v>
      </c>
      <c r="Q48" s="159">
        <v>3.6294</v>
      </c>
      <c r="R48" s="159">
        <v>0.81240000000000001</v>
      </c>
      <c r="S48" s="161">
        <v>21.524013</v>
      </c>
      <c r="T48" s="162" t="s">
        <v>199</v>
      </c>
      <c r="U48" s="162" t="s">
        <v>200</v>
      </c>
      <c r="V48" s="163" t="s">
        <v>201</v>
      </c>
    </row>
    <row r="49" spans="1:22">
      <c r="A49" s="158" t="s">
        <v>190</v>
      </c>
      <c r="B49" s="159">
        <v>92</v>
      </c>
      <c r="C49" s="159">
        <v>39</v>
      </c>
      <c r="D49" s="159">
        <v>19.399999999999999</v>
      </c>
      <c r="E49" s="159">
        <v>9.5</v>
      </c>
      <c r="F49" s="159">
        <v>23</v>
      </c>
      <c r="G49" s="159">
        <v>25</v>
      </c>
      <c r="H49" s="160">
        <f t="shared" si="0"/>
        <v>24</v>
      </c>
      <c r="I49" s="159">
        <v>2.34</v>
      </c>
      <c r="J49" s="159">
        <v>2.63</v>
      </c>
      <c r="K49" s="159">
        <v>2.5</v>
      </c>
      <c r="L49" s="159">
        <v>2.79</v>
      </c>
      <c r="M49" s="160">
        <f t="shared" si="1"/>
        <v>5.13</v>
      </c>
      <c r="N49" s="159">
        <v>9.9</v>
      </c>
      <c r="O49" s="160">
        <f t="shared" si="2"/>
        <v>204.65205700500002</v>
      </c>
      <c r="P49" s="159">
        <v>0.51029999999999998</v>
      </c>
      <c r="Q49" s="159">
        <v>3.8595999999999999</v>
      </c>
      <c r="R49" s="159">
        <v>0.80830000000000002</v>
      </c>
      <c r="S49" s="161">
        <v>20.669245</v>
      </c>
      <c r="T49" s="162" t="s">
        <v>199</v>
      </c>
      <c r="U49" s="162" t="s">
        <v>200</v>
      </c>
      <c r="V49" s="163" t="s">
        <v>201</v>
      </c>
    </row>
    <row r="50" spans="1:22">
      <c r="A50" s="158" t="s">
        <v>190</v>
      </c>
      <c r="B50" s="159">
        <v>94</v>
      </c>
      <c r="C50" s="159">
        <v>39</v>
      </c>
      <c r="D50" s="159">
        <v>20.3</v>
      </c>
      <c r="E50" s="159">
        <v>9.4</v>
      </c>
      <c r="F50" s="159">
        <v>22.5</v>
      </c>
      <c r="G50" s="159">
        <v>23.5</v>
      </c>
      <c r="H50" s="160">
        <f t="shared" si="0"/>
        <v>23</v>
      </c>
      <c r="I50" s="159">
        <v>3.56</v>
      </c>
      <c r="J50" s="159">
        <v>3.12</v>
      </c>
      <c r="K50" s="159">
        <v>2.63</v>
      </c>
      <c r="L50" s="159">
        <v>2.89</v>
      </c>
      <c r="M50" s="160">
        <f t="shared" si="1"/>
        <v>6.1</v>
      </c>
      <c r="N50" s="159">
        <v>10.9</v>
      </c>
      <c r="O50" s="160">
        <f t="shared" si="2"/>
        <v>318.59015949999991</v>
      </c>
      <c r="P50" s="159">
        <v>0.53690000000000004</v>
      </c>
      <c r="Q50" s="159">
        <v>3.5737999999999999</v>
      </c>
      <c r="R50" s="159">
        <v>0.88260000000000005</v>
      </c>
      <c r="S50" s="161">
        <v>29.224665999999999</v>
      </c>
      <c r="T50" s="162" t="s">
        <v>199</v>
      </c>
      <c r="U50" s="162" t="s">
        <v>200</v>
      </c>
      <c r="V50" s="163" t="s">
        <v>201</v>
      </c>
    </row>
    <row r="51" spans="1:22">
      <c r="A51" s="158" t="s">
        <v>190</v>
      </c>
      <c r="B51" s="159">
        <v>96</v>
      </c>
      <c r="C51" s="159">
        <v>39</v>
      </c>
      <c r="D51" s="159">
        <v>20.2</v>
      </c>
      <c r="E51" s="159">
        <v>11.1</v>
      </c>
      <c r="F51" s="159">
        <v>24</v>
      </c>
      <c r="G51" s="159">
        <v>23.5</v>
      </c>
      <c r="H51" s="160">
        <f t="shared" si="0"/>
        <v>23.75</v>
      </c>
      <c r="I51" s="159">
        <v>1.91</v>
      </c>
      <c r="J51" s="159">
        <v>3.29</v>
      </c>
      <c r="K51" s="159">
        <v>3.95</v>
      </c>
      <c r="L51" s="159">
        <v>2.27</v>
      </c>
      <c r="M51" s="160">
        <f t="shared" si="1"/>
        <v>5.71</v>
      </c>
      <c r="N51" s="159">
        <v>9.1</v>
      </c>
      <c r="O51" s="160">
        <f t="shared" si="2"/>
        <v>233.055737005</v>
      </c>
      <c r="P51" s="159">
        <v>0.45050000000000001</v>
      </c>
      <c r="Q51" s="159">
        <v>3.1873999999999998</v>
      </c>
      <c r="R51" s="159">
        <v>0.85050000000000003</v>
      </c>
      <c r="S51" s="161">
        <v>25.607199999999999</v>
      </c>
      <c r="T51" s="162" t="s">
        <v>199</v>
      </c>
      <c r="U51" s="162" t="s">
        <v>200</v>
      </c>
      <c r="V51" s="163" t="s">
        <v>201</v>
      </c>
    </row>
    <row r="52" spans="1:22">
      <c r="A52" s="158" t="s">
        <v>190</v>
      </c>
      <c r="B52" s="159">
        <v>98</v>
      </c>
      <c r="C52" s="159">
        <v>39</v>
      </c>
      <c r="D52" s="159">
        <v>19.399999999999999</v>
      </c>
      <c r="E52" s="159">
        <v>10.7</v>
      </c>
      <c r="F52" s="159">
        <v>20.5</v>
      </c>
      <c r="G52" s="159">
        <v>23</v>
      </c>
      <c r="H52" s="160">
        <f t="shared" si="0"/>
        <v>21.75</v>
      </c>
      <c r="I52" s="159">
        <v>1.61</v>
      </c>
      <c r="J52" s="159">
        <v>3.04</v>
      </c>
      <c r="K52" s="159">
        <v>1.94</v>
      </c>
      <c r="L52" s="159">
        <v>2.66</v>
      </c>
      <c r="M52" s="160">
        <f t="shared" si="1"/>
        <v>4.625</v>
      </c>
      <c r="N52" s="159">
        <v>8.6999999999999993</v>
      </c>
      <c r="O52" s="160">
        <f t="shared" si="2"/>
        <v>146.18032265624998</v>
      </c>
      <c r="P52" s="159">
        <v>0.44850000000000001</v>
      </c>
      <c r="Q52" s="159">
        <v>3.7622</v>
      </c>
      <c r="R52" s="159">
        <v>0.89200000000000002</v>
      </c>
      <c r="S52" s="161">
        <v>16.800158</v>
      </c>
      <c r="T52" s="162" t="s">
        <v>199</v>
      </c>
      <c r="U52" s="162" t="s">
        <v>200</v>
      </c>
      <c r="V52" s="163" t="s">
        <v>201</v>
      </c>
    </row>
    <row r="53" spans="1:22">
      <c r="A53" s="158" t="s">
        <v>190</v>
      </c>
      <c r="B53" s="159">
        <v>100</v>
      </c>
      <c r="C53" s="159">
        <v>39</v>
      </c>
      <c r="D53" s="159">
        <v>17.2</v>
      </c>
      <c r="E53" s="159">
        <v>7</v>
      </c>
      <c r="F53" s="159">
        <v>23</v>
      </c>
      <c r="G53" s="159">
        <v>22.5</v>
      </c>
      <c r="H53" s="160">
        <f t="shared" si="0"/>
        <v>22.75</v>
      </c>
      <c r="I53" s="159">
        <v>3.06</v>
      </c>
      <c r="J53" s="159">
        <v>3.56</v>
      </c>
      <c r="K53" s="159">
        <v>2.31</v>
      </c>
      <c r="L53" s="159">
        <v>3.19</v>
      </c>
      <c r="M53" s="160">
        <f t="shared" si="1"/>
        <v>6.06</v>
      </c>
      <c r="N53" s="159">
        <v>10.199999999999999</v>
      </c>
      <c r="O53" s="160">
        <f t="shared" si="2"/>
        <v>294.23315555999994</v>
      </c>
      <c r="P53" s="159">
        <v>0.59299999999999997</v>
      </c>
      <c r="Q53" s="159">
        <v>3.3662999999999998</v>
      </c>
      <c r="R53" s="159">
        <v>0.75600000000000001</v>
      </c>
      <c r="S53" s="161">
        <v>28.842648000000001</v>
      </c>
      <c r="T53" s="162" t="s">
        <v>199</v>
      </c>
      <c r="U53" s="162" t="s">
        <v>200</v>
      </c>
      <c r="V53" s="163" t="s">
        <v>201</v>
      </c>
    </row>
    <row r="54" spans="1:22">
      <c r="A54" s="159" t="s">
        <v>190</v>
      </c>
      <c r="B54" s="159">
        <v>122</v>
      </c>
      <c r="C54" s="159">
        <v>51</v>
      </c>
      <c r="D54" s="159">
        <v>22.9</v>
      </c>
      <c r="E54" s="159">
        <v>10.4</v>
      </c>
      <c r="F54" s="159">
        <v>30.5</v>
      </c>
      <c r="G54" s="159">
        <v>29</v>
      </c>
      <c r="H54" s="160">
        <f t="shared" si="0"/>
        <v>29.75</v>
      </c>
      <c r="I54" s="159">
        <v>3.26</v>
      </c>
      <c r="J54" s="159">
        <v>4.5</v>
      </c>
      <c r="K54" s="159">
        <v>3.57</v>
      </c>
      <c r="L54" s="159">
        <v>4.8899999999999997</v>
      </c>
      <c r="M54" s="160">
        <f t="shared" si="1"/>
        <v>8.11</v>
      </c>
      <c r="N54" s="159">
        <v>12.5</v>
      </c>
      <c r="O54" s="160">
        <f t="shared" si="2"/>
        <v>645.79980687499994</v>
      </c>
      <c r="P54" s="159">
        <v>0.545852</v>
      </c>
      <c r="Q54" s="159">
        <v>3.0826099999999999</v>
      </c>
      <c r="R54" s="159">
        <v>0.76975000000000005</v>
      </c>
      <c r="S54" s="161">
        <v>51.657290000000003</v>
      </c>
      <c r="T54" s="162" t="s">
        <v>191</v>
      </c>
      <c r="U54" s="162" t="s">
        <v>200</v>
      </c>
      <c r="V54" s="163" t="s">
        <v>202</v>
      </c>
    </row>
    <row r="55" spans="1:22">
      <c r="A55" s="158" t="s">
        <v>190</v>
      </c>
      <c r="B55" s="159">
        <v>124</v>
      </c>
      <c r="C55" s="159">
        <v>51</v>
      </c>
      <c r="D55" s="159">
        <v>24.2</v>
      </c>
      <c r="E55" s="159">
        <v>7.4</v>
      </c>
      <c r="F55" s="159">
        <v>30.5</v>
      </c>
      <c r="G55" s="159">
        <v>29</v>
      </c>
      <c r="H55" s="160">
        <f t="shared" si="0"/>
        <v>29.75</v>
      </c>
      <c r="I55" s="159">
        <v>3.39</v>
      </c>
      <c r="J55" s="159">
        <v>2.25</v>
      </c>
      <c r="K55" s="159">
        <v>1.58</v>
      </c>
      <c r="L55" s="159">
        <v>6.22</v>
      </c>
      <c r="M55" s="160">
        <f t="shared" si="1"/>
        <v>6.7200000000000006</v>
      </c>
      <c r="N55" s="159">
        <v>16.8</v>
      </c>
      <c r="O55" s="160">
        <f t="shared" si="2"/>
        <v>595.92830976000016</v>
      </c>
      <c r="P55" s="159">
        <v>0.69421500000000003</v>
      </c>
      <c r="Q55" s="159">
        <v>5</v>
      </c>
      <c r="R55" s="159">
        <v>0.81345000000000001</v>
      </c>
      <c r="S55" s="161">
        <v>35.467320000000001</v>
      </c>
      <c r="T55" s="162" t="s">
        <v>191</v>
      </c>
      <c r="U55" s="162" t="s">
        <v>200</v>
      </c>
      <c r="V55" s="163" t="s">
        <v>202</v>
      </c>
    </row>
    <row r="56" spans="1:22">
      <c r="A56" s="158" t="s">
        <v>190</v>
      </c>
      <c r="B56" s="159">
        <v>126</v>
      </c>
      <c r="C56" s="159">
        <v>51</v>
      </c>
      <c r="D56" s="159">
        <v>19.399999999999999</v>
      </c>
      <c r="E56" s="159">
        <v>9.3000000000000007</v>
      </c>
      <c r="F56" s="159">
        <v>23</v>
      </c>
      <c r="G56" s="159">
        <v>22</v>
      </c>
      <c r="H56" s="160">
        <f t="shared" si="0"/>
        <v>22.5</v>
      </c>
      <c r="I56" s="159">
        <v>2.4500000000000002</v>
      </c>
      <c r="J56" s="159">
        <v>3.22</v>
      </c>
      <c r="K56" s="159">
        <v>2.81</v>
      </c>
      <c r="L56" s="159">
        <v>3.66</v>
      </c>
      <c r="M56" s="160">
        <f t="shared" si="1"/>
        <v>6.07</v>
      </c>
      <c r="N56" s="159">
        <v>10.1</v>
      </c>
      <c r="O56" s="160">
        <f t="shared" si="2"/>
        <v>292.31085639499997</v>
      </c>
      <c r="P56" s="159">
        <v>0.52061900000000005</v>
      </c>
      <c r="Q56" s="159">
        <v>3.3278400000000001</v>
      </c>
      <c r="R56" s="159">
        <v>0.86221999999999999</v>
      </c>
      <c r="S56" s="161">
        <v>28.937919999999998</v>
      </c>
      <c r="T56" s="162" t="s">
        <v>191</v>
      </c>
      <c r="U56" s="162" t="s">
        <v>200</v>
      </c>
      <c r="V56" s="163" t="s">
        <v>202</v>
      </c>
    </row>
    <row r="57" spans="1:22">
      <c r="A57" s="158" t="s">
        <v>190</v>
      </c>
      <c r="B57" s="159">
        <v>128</v>
      </c>
      <c r="C57" s="159">
        <v>51</v>
      </c>
      <c r="D57" s="159">
        <v>19.100000000000001</v>
      </c>
      <c r="E57" s="159">
        <v>11.5</v>
      </c>
      <c r="F57" s="159">
        <v>18.5</v>
      </c>
      <c r="G57" s="159">
        <v>18</v>
      </c>
      <c r="H57" s="160">
        <f t="shared" si="0"/>
        <v>18.25</v>
      </c>
      <c r="I57" s="159">
        <v>0.68</v>
      </c>
      <c r="J57" s="159">
        <v>2.93</v>
      </c>
      <c r="K57" s="159">
        <v>2.5499999999999998</v>
      </c>
      <c r="L57" s="159">
        <v>1.86</v>
      </c>
      <c r="M57" s="160">
        <f t="shared" si="1"/>
        <v>4.01</v>
      </c>
      <c r="N57" s="159">
        <v>7.6</v>
      </c>
      <c r="O57" s="160">
        <f t="shared" si="2"/>
        <v>95.99498097999998</v>
      </c>
      <c r="P57" s="159">
        <v>0.39790599999999998</v>
      </c>
      <c r="Q57" s="159">
        <v>3.7905199999999999</v>
      </c>
      <c r="R57" s="159">
        <v>1.0465800000000001</v>
      </c>
      <c r="S57" s="161">
        <v>12.62928</v>
      </c>
      <c r="T57" s="162" t="s">
        <v>191</v>
      </c>
      <c r="U57" s="162" t="s">
        <v>200</v>
      </c>
      <c r="V57" s="163" t="s">
        <v>202</v>
      </c>
    </row>
    <row r="58" spans="1:22">
      <c r="A58" s="158" t="s">
        <v>190</v>
      </c>
      <c r="B58" s="159">
        <v>130</v>
      </c>
      <c r="C58" s="159">
        <v>51</v>
      </c>
      <c r="D58" s="159">
        <v>20.8</v>
      </c>
      <c r="E58" s="159">
        <v>9.5</v>
      </c>
      <c r="F58" s="159">
        <v>27.5</v>
      </c>
      <c r="G58" s="159">
        <v>27.5</v>
      </c>
      <c r="H58" s="160">
        <f t="shared" si="0"/>
        <v>27.5</v>
      </c>
      <c r="I58" s="159">
        <v>2.98</v>
      </c>
      <c r="J58" s="159">
        <v>2.61</v>
      </c>
      <c r="K58" s="159">
        <v>3.95</v>
      </c>
      <c r="L58" s="159">
        <v>4.42</v>
      </c>
      <c r="M58" s="160">
        <f t="shared" si="1"/>
        <v>6.9799999999999995</v>
      </c>
      <c r="N58" s="159">
        <v>11.3</v>
      </c>
      <c r="O58" s="160">
        <f t="shared" si="2"/>
        <v>432.44957845999988</v>
      </c>
      <c r="P58" s="159">
        <v>0.543269</v>
      </c>
      <c r="Q58" s="159">
        <v>3.2378200000000001</v>
      </c>
      <c r="R58" s="159">
        <v>0.75636000000000003</v>
      </c>
      <c r="S58" s="161">
        <v>38.26491</v>
      </c>
      <c r="T58" s="162" t="s">
        <v>191</v>
      </c>
      <c r="U58" s="162" t="s">
        <v>200</v>
      </c>
      <c r="V58" s="163" t="s">
        <v>202</v>
      </c>
    </row>
    <row r="59" spans="1:22">
      <c r="A59" s="158" t="s">
        <v>190</v>
      </c>
      <c r="B59" s="159">
        <v>132</v>
      </c>
      <c r="C59" s="159">
        <v>51</v>
      </c>
      <c r="D59" s="159">
        <v>21.2</v>
      </c>
      <c r="E59" s="159">
        <v>12</v>
      </c>
      <c r="F59" s="159">
        <v>23.5</v>
      </c>
      <c r="G59" s="159">
        <v>24</v>
      </c>
      <c r="H59" s="160">
        <f t="shared" si="0"/>
        <v>23.75</v>
      </c>
      <c r="I59" s="159">
        <v>2.21</v>
      </c>
      <c r="J59" s="159">
        <v>3.17</v>
      </c>
      <c r="K59" s="159">
        <v>2.12</v>
      </c>
      <c r="L59" s="159">
        <v>3.33</v>
      </c>
      <c r="M59" s="160">
        <f t="shared" si="1"/>
        <v>5.415</v>
      </c>
      <c r="N59" s="159">
        <v>9.1999999999999993</v>
      </c>
      <c r="O59" s="160">
        <f t="shared" si="2"/>
        <v>211.89999118499995</v>
      </c>
      <c r="P59" s="159">
        <v>0.43396200000000001</v>
      </c>
      <c r="Q59" s="159">
        <v>3.3979699999999999</v>
      </c>
      <c r="R59" s="159">
        <v>0.89263000000000003</v>
      </c>
      <c r="S59" s="161">
        <v>23.029620000000001</v>
      </c>
      <c r="T59" s="162" t="s">
        <v>191</v>
      </c>
      <c r="U59" s="162" t="s">
        <v>200</v>
      </c>
      <c r="V59" s="163" t="s">
        <v>202</v>
      </c>
    </row>
    <row r="60" spans="1:22">
      <c r="A60" s="158" t="s">
        <v>190</v>
      </c>
      <c r="B60" s="159">
        <v>134</v>
      </c>
      <c r="C60" s="159">
        <v>51</v>
      </c>
      <c r="D60" s="159">
        <v>21.2</v>
      </c>
      <c r="E60" s="159">
        <v>10.8</v>
      </c>
      <c r="F60" s="159">
        <v>24</v>
      </c>
      <c r="G60" s="159">
        <v>26</v>
      </c>
      <c r="H60" s="160">
        <f t="shared" si="0"/>
        <v>25</v>
      </c>
      <c r="I60" s="159">
        <v>2.08</v>
      </c>
      <c r="J60" s="159">
        <v>2.65</v>
      </c>
      <c r="K60" s="159">
        <v>3.89</v>
      </c>
      <c r="L60" s="159">
        <v>3.76</v>
      </c>
      <c r="M60" s="160">
        <f t="shared" si="1"/>
        <v>6.19</v>
      </c>
      <c r="N60" s="159">
        <v>10.4</v>
      </c>
      <c r="O60" s="160">
        <f t="shared" si="2"/>
        <v>313.01188412000005</v>
      </c>
      <c r="P60" s="159">
        <v>0.490566</v>
      </c>
      <c r="Q60" s="159">
        <v>3.3602599999999998</v>
      </c>
      <c r="R60" s="159">
        <v>0.84799999999999998</v>
      </c>
      <c r="S60" s="161">
        <v>30.093389999999999</v>
      </c>
      <c r="T60" s="162" t="s">
        <v>191</v>
      </c>
      <c r="U60" s="162" t="s">
        <v>200</v>
      </c>
      <c r="V60" s="163" t="s">
        <v>202</v>
      </c>
    </row>
    <row r="61" spans="1:22">
      <c r="A61" s="158" t="s">
        <v>190</v>
      </c>
      <c r="B61" s="159">
        <v>136</v>
      </c>
      <c r="C61" s="159">
        <v>51</v>
      </c>
      <c r="D61" s="159">
        <v>21.9</v>
      </c>
      <c r="E61" s="159">
        <v>10.199999999999999</v>
      </c>
      <c r="F61" s="159">
        <v>24</v>
      </c>
      <c r="G61" s="159">
        <v>23.5</v>
      </c>
      <c r="H61" s="160">
        <f t="shared" si="0"/>
        <v>23.75</v>
      </c>
      <c r="I61" s="159">
        <v>2.87</v>
      </c>
      <c r="J61" s="159">
        <v>2.78</v>
      </c>
      <c r="K61" s="159">
        <v>1.65</v>
      </c>
      <c r="L61" s="159">
        <v>4.42</v>
      </c>
      <c r="M61" s="160">
        <f t="shared" si="1"/>
        <v>5.86</v>
      </c>
      <c r="N61" s="159">
        <v>11.7</v>
      </c>
      <c r="O61" s="160">
        <f t="shared" si="2"/>
        <v>315.59294285999999</v>
      </c>
      <c r="P61" s="159">
        <v>0.53424700000000003</v>
      </c>
      <c r="Q61" s="159">
        <v>3.9931700000000001</v>
      </c>
      <c r="R61" s="159">
        <v>0.92210999999999999</v>
      </c>
      <c r="S61" s="161">
        <v>26.97026</v>
      </c>
      <c r="T61" s="162" t="s">
        <v>191</v>
      </c>
      <c r="U61" s="162" t="s">
        <v>200</v>
      </c>
      <c r="V61" s="163" t="s">
        <v>202</v>
      </c>
    </row>
    <row r="62" spans="1:22">
      <c r="A62" s="158" t="s">
        <v>190</v>
      </c>
      <c r="B62" s="159">
        <v>138</v>
      </c>
      <c r="C62" s="159">
        <v>51</v>
      </c>
      <c r="D62" s="159">
        <v>21.1</v>
      </c>
      <c r="E62" s="159">
        <v>9.6999999999999993</v>
      </c>
      <c r="F62" s="159">
        <v>24</v>
      </c>
      <c r="G62" s="159">
        <v>25</v>
      </c>
      <c r="H62" s="160">
        <f t="shared" si="0"/>
        <v>24.5</v>
      </c>
      <c r="I62" s="159">
        <v>3.32</v>
      </c>
      <c r="J62" s="159">
        <v>4.16</v>
      </c>
      <c r="K62" s="159">
        <v>3.94</v>
      </c>
      <c r="L62" s="159">
        <v>3.54</v>
      </c>
      <c r="M62" s="160">
        <f t="shared" si="1"/>
        <v>7.48</v>
      </c>
      <c r="N62" s="159">
        <v>11.4</v>
      </c>
      <c r="O62" s="160">
        <f t="shared" si="2"/>
        <v>501.01904688000013</v>
      </c>
      <c r="P62" s="159">
        <v>0.54028399999999999</v>
      </c>
      <c r="Q62" s="159">
        <v>3.04813</v>
      </c>
      <c r="R62" s="159">
        <v>0.86121999999999999</v>
      </c>
      <c r="S62" s="161">
        <v>43.943339999999999</v>
      </c>
      <c r="T62" s="162" t="s">
        <v>191</v>
      </c>
      <c r="U62" s="162" t="s">
        <v>200</v>
      </c>
      <c r="V62" s="163" t="s">
        <v>202</v>
      </c>
    </row>
    <row r="63" spans="1:22">
      <c r="A63" s="158" t="s">
        <v>190</v>
      </c>
      <c r="B63" s="159">
        <v>140</v>
      </c>
      <c r="C63" s="159">
        <v>51</v>
      </c>
      <c r="D63" s="159">
        <v>22.1</v>
      </c>
      <c r="E63" s="159">
        <v>12</v>
      </c>
      <c r="F63" s="159">
        <v>29</v>
      </c>
      <c r="G63" s="159">
        <v>25.5</v>
      </c>
      <c r="H63" s="160">
        <f t="shared" si="0"/>
        <v>27.25</v>
      </c>
      <c r="I63" s="159">
        <v>3.82</v>
      </c>
      <c r="J63" s="159">
        <v>4.24</v>
      </c>
      <c r="K63" s="159">
        <v>3.39</v>
      </c>
      <c r="L63" s="159">
        <v>4.87</v>
      </c>
      <c r="M63" s="160">
        <f t="shared" si="1"/>
        <v>8.16</v>
      </c>
      <c r="N63" s="159">
        <v>10.1</v>
      </c>
      <c r="O63" s="160">
        <f t="shared" si="2"/>
        <v>528.26018687999999</v>
      </c>
      <c r="P63" s="159">
        <v>0.45701399999999998</v>
      </c>
      <c r="Q63" s="159">
        <v>2.4754900000000002</v>
      </c>
      <c r="R63" s="159">
        <v>0.81101000000000001</v>
      </c>
      <c r="S63" s="161">
        <v>52.296210000000002</v>
      </c>
      <c r="T63" s="162" t="s">
        <v>191</v>
      </c>
      <c r="U63" s="162" t="s">
        <v>200</v>
      </c>
      <c r="V63" s="163" t="s">
        <v>202</v>
      </c>
    </row>
    <row r="64" spans="1:22">
      <c r="A64" s="158" t="s">
        <v>190</v>
      </c>
      <c r="B64" s="158">
        <v>142</v>
      </c>
      <c r="C64" s="158">
        <v>62</v>
      </c>
      <c r="D64" s="159">
        <v>24.9</v>
      </c>
      <c r="E64" s="159">
        <v>9.6999999999999993</v>
      </c>
      <c r="F64" s="159">
        <v>28</v>
      </c>
      <c r="G64" s="159">
        <v>31</v>
      </c>
      <c r="H64" s="160">
        <f t="shared" si="0"/>
        <v>29.5</v>
      </c>
      <c r="I64" s="159">
        <v>1.98</v>
      </c>
      <c r="J64" s="159">
        <v>2.4700000000000002</v>
      </c>
      <c r="K64" s="159">
        <v>3.69</v>
      </c>
      <c r="L64" s="159">
        <v>3.84</v>
      </c>
      <c r="M64" s="160">
        <f t="shared" si="1"/>
        <v>5.99</v>
      </c>
      <c r="N64" s="159">
        <v>15.2</v>
      </c>
      <c r="O64" s="160">
        <f t="shared" si="2"/>
        <v>428.39404196000004</v>
      </c>
      <c r="P64" s="159">
        <v>0.61043999999999998</v>
      </c>
      <c r="Q64" s="159">
        <v>5.0751299999999997</v>
      </c>
      <c r="R64" s="159">
        <v>0.84406999999999999</v>
      </c>
      <c r="S64" s="161">
        <v>28.180160000000001</v>
      </c>
      <c r="T64" s="162" t="s">
        <v>191</v>
      </c>
      <c r="U64" s="162" t="s">
        <v>203</v>
      </c>
      <c r="V64" s="163" t="s">
        <v>204</v>
      </c>
    </row>
    <row r="65" spans="1:22">
      <c r="A65" s="158" t="s">
        <v>190</v>
      </c>
      <c r="B65" s="158">
        <v>144</v>
      </c>
      <c r="C65" s="158">
        <v>62</v>
      </c>
      <c r="D65" s="159">
        <v>23.1</v>
      </c>
      <c r="E65" s="159">
        <v>11.6</v>
      </c>
      <c r="F65" s="159">
        <v>29.5</v>
      </c>
      <c r="G65" s="159">
        <v>29</v>
      </c>
      <c r="H65" s="160">
        <f t="shared" si="0"/>
        <v>29.25</v>
      </c>
      <c r="I65" s="159">
        <v>4.3099999999999996</v>
      </c>
      <c r="J65" s="159">
        <v>3.74</v>
      </c>
      <c r="K65" s="159">
        <v>2.33</v>
      </c>
      <c r="L65" s="159">
        <v>3.7</v>
      </c>
      <c r="M65" s="160">
        <f t="shared" si="1"/>
        <v>7.0400000000000009</v>
      </c>
      <c r="N65" s="159">
        <v>11.5</v>
      </c>
      <c r="O65" s="160">
        <f t="shared" si="2"/>
        <v>447.70232320000008</v>
      </c>
      <c r="P65" s="159">
        <v>0.49784</v>
      </c>
      <c r="Q65" s="159">
        <v>3.2670499999999998</v>
      </c>
      <c r="R65" s="159">
        <v>0.78974</v>
      </c>
      <c r="S65" s="161">
        <v>38.92559</v>
      </c>
      <c r="T65" s="162" t="s">
        <v>191</v>
      </c>
      <c r="U65" s="162" t="s">
        <v>203</v>
      </c>
      <c r="V65" s="163" t="s">
        <v>204</v>
      </c>
    </row>
    <row r="66" spans="1:22">
      <c r="A66" s="158" t="s">
        <v>190</v>
      </c>
      <c r="B66" s="158">
        <v>146</v>
      </c>
      <c r="C66" s="158">
        <v>62</v>
      </c>
      <c r="D66" s="159">
        <v>25.3</v>
      </c>
      <c r="E66" s="159">
        <v>13.8</v>
      </c>
      <c r="F66" s="159">
        <v>27.5</v>
      </c>
      <c r="G66" s="159">
        <v>26.5</v>
      </c>
      <c r="H66" s="160">
        <f t="shared" si="0"/>
        <v>27</v>
      </c>
      <c r="I66" s="159">
        <v>4.0199999999999996</v>
      </c>
      <c r="J66" s="159">
        <v>3.27</v>
      </c>
      <c r="K66" s="159">
        <v>2.98</v>
      </c>
      <c r="L66" s="159">
        <v>2.96</v>
      </c>
      <c r="M66" s="160">
        <f t="shared" si="1"/>
        <v>6.6150000000000002</v>
      </c>
      <c r="N66" s="159">
        <v>11.5</v>
      </c>
      <c r="O66" s="160">
        <f t="shared" si="2"/>
        <v>395.27898598125</v>
      </c>
      <c r="P66" s="159">
        <v>0.45455000000000001</v>
      </c>
      <c r="Q66" s="159">
        <v>3.47695</v>
      </c>
      <c r="R66" s="159">
        <v>0.93703999999999998</v>
      </c>
      <c r="S66" s="161">
        <v>34.367629999999998</v>
      </c>
      <c r="T66" s="162" t="s">
        <v>191</v>
      </c>
      <c r="U66" s="162" t="s">
        <v>203</v>
      </c>
      <c r="V66" s="163" t="s">
        <v>204</v>
      </c>
    </row>
    <row r="67" spans="1:22">
      <c r="A67" s="158" t="s">
        <v>190</v>
      </c>
      <c r="B67" s="158">
        <v>148</v>
      </c>
      <c r="C67" s="158">
        <v>62</v>
      </c>
      <c r="D67" s="159">
        <v>25.2</v>
      </c>
      <c r="E67" s="159">
        <v>11.6</v>
      </c>
      <c r="F67" s="159">
        <v>30</v>
      </c>
      <c r="G67" s="159">
        <v>28</v>
      </c>
      <c r="H67" s="160">
        <f t="shared" si="0"/>
        <v>29</v>
      </c>
      <c r="I67" s="159">
        <v>4.47</v>
      </c>
      <c r="J67" s="159">
        <v>3.09</v>
      </c>
      <c r="K67" s="159">
        <v>1.7</v>
      </c>
      <c r="L67" s="159">
        <v>4.5999999999999996</v>
      </c>
      <c r="M67" s="160">
        <f t="shared" si="1"/>
        <v>6.93</v>
      </c>
      <c r="N67" s="159">
        <v>13.6</v>
      </c>
      <c r="O67" s="160">
        <f t="shared" si="2"/>
        <v>513.04040171999998</v>
      </c>
      <c r="P67" s="159">
        <v>0.53968000000000005</v>
      </c>
      <c r="Q67" s="159">
        <v>3.92496</v>
      </c>
      <c r="R67" s="159">
        <v>0.86897000000000002</v>
      </c>
      <c r="S67" s="161">
        <v>37.718670000000003</v>
      </c>
      <c r="T67" s="162" t="s">
        <v>191</v>
      </c>
      <c r="U67" s="162" t="s">
        <v>203</v>
      </c>
      <c r="V67" s="163" t="s">
        <v>204</v>
      </c>
    </row>
    <row r="68" spans="1:22">
      <c r="A68" s="158" t="s">
        <v>190</v>
      </c>
      <c r="B68" s="158">
        <v>150</v>
      </c>
      <c r="C68" s="158">
        <v>62</v>
      </c>
      <c r="D68" s="159">
        <v>24.1</v>
      </c>
      <c r="E68" s="159">
        <v>8</v>
      </c>
      <c r="F68" s="159">
        <v>34</v>
      </c>
      <c r="G68" s="159">
        <v>34.5</v>
      </c>
      <c r="H68" s="160">
        <f t="shared" ref="H68:H131" si="3">(F68+G68)/2</f>
        <v>34.25</v>
      </c>
      <c r="I68" s="159">
        <v>4.45</v>
      </c>
      <c r="J68" s="159">
        <v>4.59</v>
      </c>
      <c r="K68" s="159">
        <v>2.77</v>
      </c>
      <c r="L68" s="159">
        <v>2.98</v>
      </c>
      <c r="M68" s="160">
        <f t="shared" ref="M68:M131" si="4">SUM(I68:L68)/2</f>
        <v>7.3949999999999996</v>
      </c>
      <c r="N68" s="159">
        <v>16.100000000000001</v>
      </c>
      <c r="O68" s="160">
        <f t="shared" ref="O68:O131" si="5">3.142/4*M68^2*N68</f>
        <v>691.5895494637499</v>
      </c>
      <c r="P68" s="159">
        <v>0.66805000000000003</v>
      </c>
      <c r="Q68" s="159">
        <v>4.3542899999999998</v>
      </c>
      <c r="R68" s="159">
        <v>0.70365</v>
      </c>
      <c r="S68" s="161">
        <v>42.950299999999999</v>
      </c>
      <c r="T68" s="162" t="s">
        <v>191</v>
      </c>
      <c r="U68" s="162" t="s">
        <v>203</v>
      </c>
      <c r="V68" s="163" t="s">
        <v>204</v>
      </c>
    </row>
    <row r="69" spans="1:22">
      <c r="A69" s="158" t="s">
        <v>190</v>
      </c>
      <c r="B69" s="158">
        <v>152</v>
      </c>
      <c r="C69" s="158">
        <v>62</v>
      </c>
      <c r="D69" s="159">
        <v>25.8</v>
      </c>
      <c r="E69" s="159">
        <v>12.3</v>
      </c>
      <c r="F69" s="159">
        <v>32</v>
      </c>
      <c r="G69" s="159">
        <v>33.5</v>
      </c>
      <c r="H69" s="160">
        <f t="shared" si="3"/>
        <v>32.75</v>
      </c>
      <c r="I69" s="159">
        <v>2.89</v>
      </c>
      <c r="J69" s="159">
        <v>4.4800000000000004</v>
      </c>
      <c r="K69" s="159">
        <v>3.01</v>
      </c>
      <c r="L69" s="159">
        <v>3.76</v>
      </c>
      <c r="M69" s="160">
        <f t="shared" si="4"/>
        <v>7.07</v>
      </c>
      <c r="N69" s="159">
        <v>13.5</v>
      </c>
      <c r="O69" s="160">
        <f t="shared" si="5"/>
        <v>530.05237582500001</v>
      </c>
      <c r="P69" s="159">
        <v>0.52325999999999995</v>
      </c>
      <c r="Q69" s="159">
        <v>3.8189500000000001</v>
      </c>
      <c r="R69" s="159">
        <v>0.78778999999999999</v>
      </c>
      <c r="S69" s="161">
        <v>39.258049999999997</v>
      </c>
      <c r="T69" s="162" t="s">
        <v>191</v>
      </c>
      <c r="U69" s="162" t="s">
        <v>203</v>
      </c>
      <c r="V69" s="163" t="s">
        <v>204</v>
      </c>
    </row>
    <row r="70" spans="1:22">
      <c r="A70" s="158" t="s">
        <v>190</v>
      </c>
      <c r="B70" s="158">
        <v>154</v>
      </c>
      <c r="C70" s="158">
        <v>62</v>
      </c>
      <c r="D70" s="159">
        <v>23.2</v>
      </c>
      <c r="E70" s="159">
        <v>10.5</v>
      </c>
      <c r="F70" s="159">
        <v>35.5</v>
      </c>
      <c r="G70" s="159">
        <v>35.5</v>
      </c>
      <c r="H70" s="160">
        <f t="shared" si="3"/>
        <v>35.5</v>
      </c>
      <c r="I70" s="159">
        <v>5.23</v>
      </c>
      <c r="J70" s="159">
        <v>5.92</v>
      </c>
      <c r="K70" s="159">
        <v>5.5</v>
      </c>
      <c r="L70" s="159">
        <v>3.04</v>
      </c>
      <c r="M70" s="160">
        <f t="shared" si="4"/>
        <v>9.8449999999999989</v>
      </c>
      <c r="N70" s="159">
        <v>12.7</v>
      </c>
      <c r="O70" s="160">
        <f t="shared" si="5"/>
        <v>966.89953479624967</v>
      </c>
      <c r="P70" s="159">
        <v>0.54740999999999995</v>
      </c>
      <c r="Q70" s="159">
        <v>2.57999</v>
      </c>
      <c r="R70" s="159">
        <v>0.65351999999999999</v>
      </c>
      <c r="S70" s="161">
        <v>76.123949999999994</v>
      </c>
      <c r="T70" s="162" t="s">
        <v>191</v>
      </c>
      <c r="U70" s="162" t="s">
        <v>203</v>
      </c>
      <c r="V70" s="163" t="s">
        <v>204</v>
      </c>
    </row>
    <row r="71" spans="1:22">
      <c r="A71" s="158" t="s">
        <v>190</v>
      </c>
      <c r="B71" s="158">
        <v>156</v>
      </c>
      <c r="C71" s="158">
        <v>62</v>
      </c>
      <c r="D71" s="159">
        <v>21</v>
      </c>
      <c r="E71" s="159">
        <v>9.5</v>
      </c>
      <c r="F71" s="159">
        <v>28.5</v>
      </c>
      <c r="G71" s="159">
        <v>29.5</v>
      </c>
      <c r="H71" s="160">
        <f t="shared" si="3"/>
        <v>29</v>
      </c>
      <c r="I71" s="159">
        <v>3.64</v>
      </c>
      <c r="J71" s="159">
        <v>6.33</v>
      </c>
      <c r="K71" s="159">
        <v>5.41</v>
      </c>
      <c r="L71" s="159">
        <v>3.06</v>
      </c>
      <c r="M71" s="160">
        <f t="shared" si="4"/>
        <v>9.2200000000000006</v>
      </c>
      <c r="N71" s="159">
        <v>11.5</v>
      </c>
      <c r="O71" s="160">
        <f t="shared" si="5"/>
        <v>767.90212930000018</v>
      </c>
      <c r="P71" s="159">
        <v>0.54762</v>
      </c>
      <c r="Q71" s="159">
        <v>2.49458</v>
      </c>
      <c r="R71" s="159">
        <v>0.72414000000000001</v>
      </c>
      <c r="S71" s="161">
        <v>66.765439999999998</v>
      </c>
      <c r="T71" s="162" t="s">
        <v>191</v>
      </c>
      <c r="U71" s="162" t="s">
        <v>203</v>
      </c>
      <c r="V71" s="163" t="s">
        <v>204</v>
      </c>
    </row>
    <row r="72" spans="1:22">
      <c r="A72" s="158" t="s">
        <v>190</v>
      </c>
      <c r="B72" s="158">
        <v>158</v>
      </c>
      <c r="C72" s="158">
        <v>62</v>
      </c>
      <c r="D72" s="159">
        <v>24.4</v>
      </c>
      <c r="E72" s="159">
        <v>9.9</v>
      </c>
      <c r="F72" s="159">
        <v>26.5</v>
      </c>
      <c r="G72" s="159">
        <v>27</v>
      </c>
      <c r="H72" s="160">
        <f t="shared" si="3"/>
        <v>26.75</v>
      </c>
      <c r="I72" s="159">
        <v>3.86</v>
      </c>
      <c r="J72" s="159">
        <v>4.59</v>
      </c>
      <c r="K72" s="159">
        <v>3.86</v>
      </c>
      <c r="L72" s="159">
        <v>3.03</v>
      </c>
      <c r="M72" s="160">
        <f t="shared" si="4"/>
        <v>7.669999999999999</v>
      </c>
      <c r="N72" s="159">
        <v>14.5</v>
      </c>
      <c r="O72" s="160">
        <f t="shared" si="5"/>
        <v>670.04646377499978</v>
      </c>
      <c r="P72" s="159">
        <v>0.59426000000000001</v>
      </c>
      <c r="Q72" s="159">
        <v>3.7809599999999999</v>
      </c>
      <c r="R72" s="159">
        <v>0.91215000000000002</v>
      </c>
      <c r="S72" s="161">
        <v>46.20411</v>
      </c>
      <c r="T72" s="162" t="s">
        <v>191</v>
      </c>
      <c r="U72" s="162" t="s">
        <v>203</v>
      </c>
      <c r="V72" s="163" t="s">
        <v>204</v>
      </c>
    </row>
    <row r="73" spans="1:22">
      <c r="A73" s="158" t="s">
        <v>190</v>
      </c>
      <c r="B73" s="158">
        <v>160</v>
      </c>
      <c r="C73" s="158">
        <v>62</v>
      </c>
      <c r="D73" s="159">
        <v>21.4</v>
      </c>
      <c r="E73" s="159">
        <v>13.1</v>
      </c>
      <c r="F73" s="159">
        <v>28.5</v>
      </c>
      <c r="G73" s="159">
        <v>30</v>
      </c>
      <c r="H73" s="160">
        <f t="shared" si="3"/>
        <v>29.25</v>
      </c>
      <c r="I73" s="159">
        <v>3.78</v>
      </c>
      <c r="J73" s="159">
        <v>4.5</v>
      </c>
      <c r="K73" s="159">
        <v>3.45</v>
      </c>
      <c r="L73" s="159">
        <v>3.63</v>
      </c>
      <c r="M73" s="160">
        <f t="shared" si="4"/>
        <v>7.68</v>
      </c>
      <c r="N73" s="159">
        <v>8.3000000000000007</v>
      </c>
      <c r="O73" s="160">
        <f t="shared" si="5"/>
        <v>384.54460416000001</v>
      </c>
      <c r="P73" s="159">
        <v>0.38784999999999997</v>
      </c>
      <c r="Q73" s="159">
        <v>2.1614599999999999</v>
      </c>
      <c r="R73" s="159">
        <v>0.73162000000000005</v>
      </c>
      <c r="S73" s="161">
        <v>46.324669999999998</v>
      </c>
      <c r="T73" s="162" t="s">
        <v>191</v>
      </c>
      <c r="U73" s="162" t="s">
        <v>203</v>
      </c>
      <c r="V73" s="163" t="s">
        <v>204</v>
      </c>
    </row>
    <row r="74" spans="1:22">
      <c r="A74" s="158" t="s">
        <v>190</v>
      </c>
      <c r="B74" s="158">
        <v>174</v>
      </c>
      <c r="C74" s="158">
        <v>75</v>
      </c>
      <c r="D74" s="159">
        <v>22.3</v>
      </c>
      <c r="E74" s="159">
        <v>15</v>
      </c>
      <c r="F74" s="159">
        <v>22</v>
      </c>
      <c r="G74" s="159">
        <v>25</v>
      </c>
      <c r="H74" s="160">
        <f t="shared" si="3"/>
        <v>23.5</v>
      </c>
      <c r="I74" s="159">
        <v>0</v>
      </c>
      <c r="J74" s="159">
        <v>2.0299999999999998</v>
      </c>
      <c r="K74" s="159">
        <v>6.59</v>
      </c>
      <c r="L74" s="159">
        <v>3.79</v>
      </c>
      <c r="M74" s="160">
        <f t="shared" si="4"/>
        <v>6.2050000000000001</v>
      </c>
      <c r="N74" s="159">
        <v>7.3</v>
      </c>
      <c r="O74" s="160">
        <f t="shared" si="5"/>
        <v>220.77638665375</v>
      </c>
      <c r="P74" s="159">
        <v>0.32734999999999997</v>
      </c>
      <c r="Q74" s="159">
        <v>2.3529399999999998</v>
      </c>
      <c r="R74" s="159">
        <v>0.94894000000000001</v>
      </c>
      <c r="S74" s="161">
        <v>30.2394</v>
      </c>
      <c r="T74" s="162" t="s">
        <v>191</v>
      </c>
      <c r="U74" s="162" t="s">
        <v>203</v>
      </c>
      <c r="V74" s="162" t="s">
        <v>205</v>
      </c>
    </row>
    <row r="75" spans="1:22">
      <c r="A75" s="158" t="s">
        <v>190</v>
      </c>
      <c r="B75" s="158">
        <v>176</v>
      </c>
      <c r="C75" s="158">
        <v>75</v>
      </c>
      <c r="D75" s="159">
        <v>28</v>
      </c>
      <c r="E75" s="159">
        <v>14</v>
      </c>
      <c r="F75" s="159">
        <v>31.5</v>
      </c>
      <c r="G75" s="159">
        <v>32</v>
      </c>
      <c r="H75" s="160">
        <f t="shared" si="3"/>
        <v>31.75</v>
      </c>
      <c r="I75" s="159">
        <v>2.69</v>
      </c>
      <c r="J75" s="159">
        <v>5.34</v>
      </c>
      <c r="K75" s="159">
        <v>3.38</v>
      </c>
      <c r="L75" s="159">
        <v>2.5</v>
      </c>
      <c r="M75" s="160">
        <f t="shared" si="4"/>
        <v>6.9550000000000001</v>
      </c>
      <c r="N75" s="159">
        <v>14</v>
      </c>
      <c r="O75" s="160">
        <f t="shared" si="5"/>
        <v>531.94715892499994</v>
      </c>
      <c r="P75" s="159">
        <v>0.5</v>
      </c>
      <c r="Q75" s="159">
        <v>4.0258799999999999</v>
      </c>
      <c r="R75" s="159">
        <v>0.88188999999999995</v>
      </c>
      <c r="S75" s="161">
        <v>37.991300000000003</v>
      </c>
      <c r="T75" s="162" t="s">
        <v>191</v>
      </c>
      <c r="U75" s="162" t="s">
        <v>203</v>
      </c>
      <c r="V75" s="162" t="s">
        <v>205</v>
      </c>
    </row>
    <row r="76" spans="1:22">
      <c r="A76" s="158" t="s">
        <v>190</v>
      </c>
      <c r="B76" s="158">
        <v>178</v>
      </c>
      <c r="C76" s="158">
        <v>75</v>
      </c>
      <c r="D76" s="159">
        <v>25.3</v>
      </c>
      <c r="E76" s="159">
        <v>12.3</v>
      </c>
      <c r="F76" s="159">
        <v>21</v>
      </c>
      <c r="G76" s="159">
        <v>20.5</v>
      </c>
      <c r="H76" s="160">
        <f t="shared" si="3"/>
        <v>20.75</v>
      </c>
      <c r="I76" s="159">
        <v>4.24</v>
      </c>
      <c r="J76" s="159">
        <v>2.64</v>
      </c>
      <c r="K76" s="159">
        <v>1.91</v>
      </c>
      <c r="L76" s="159">
        <v>1.37</v>
      </c>
      <c r="M76" s="160">
        <f t="shared" si="4"/>
        <v>5.08</v>
      </c>
      <c r="N76" s="159">
        <v>13</v>
      </c>
      <c r="O76" s="160">
        <f t="shared" si="5"/>
        <v>263.52205359999999</v>
      </c>
      <c r="P76" s="159">
        <v>0.51383000000000001</v>
      </c>
      <c r="Q76" s="159">
        <v>5.1181099999999997</v>
      </c>
      <c r="R76" s="159">
        <v>1.2192799999999999</v>
      </c>
      <c r="S76" s="161">
        <v>20.2683</v>
      </c>
      <c r="T76" s="162" t="s">
        <v>191</v>
      </c>
      <c r="U76" s="162" t="s">
        <v>203</v>
      </c>
      <c r="V76" s="162" t="s">
        <v>205</v>
      </c>
    </row>
    <row r="77" spans="1:22">
      <c r="A77" s="158" t="s">
        <v>190</v>
      </c>
      <c r="B77" s="158">
        <v>180</v>
      </c>
      <c r="C77" s="158">
        <v>75</v>
      </c>
      <c r="D77" s="159">
        <v>26.6</v>
      </c>
      <c r="E77" s="159">
        <v>14.3</v>
      </c>
      <c r="F77" s="159">
        <v>35</v>
      </c>
      <c r="G77" s="159">
        <v>38.5</v>
      </c>
      <c r="H77" s="160">
        <f t="shared" si="3"/>
        <v>36.75</v>
      </c>
      <c r="I77" s="159">
        <v>1.99</v>
      </c>
      <c r="J77" s="159">
        <v>3.77</v>
      </c>
      <c r="K77" s="159">
        <v>4.7</v>
      </c>
      <c r="L77" s="159">
        <v>4.93</v>
      </c>
      <c r="M77" s="160">
        <f t="shared" si="4"/>
        <v>7.6950000000000003</v>
      </c>
      <c r="N77" s="159">
        <v>12.3</v>
      </c>
      <c r="O77" s="160">
        <f t="shared" si="5"/>
        <v>572.09552299125005</v>
      </c>
      <c r="P77" s="159">
        <v>0.46240999999999999</v>
      </c>
      <c r="Q77" s="159">
        <v>3.1968800000000002</v>
      </c>
      <c r="R77" s="159">
        <v>0.72380999999999995</v>
      </c>
      <c r="S77" s="161">
        <v>46.505800000000001</v>
      </c>
      <c r="T77" s="162" t="s">
        <v>191</v>
      </c>
      <c r="U77" s="162" t="s">
        <v>203</v>
      </c>
      <c r="V77" s="162" t="s">
        <v>205</v>
      </c>
    </row>
    <row r="78" spans="1:22">
      <c r="A78" s="158" t="s">
        <v>190</v>
      </c>
      <c r="B78" s="158">
        <v>182</v>
      </c>
      <c r="C78" s="158">
        <v>75</v>
      </c>
      <c r="D78" s="159">
        <v>26.6</v>
      </c>
      <c r="E78" s="159">
        <v>14.3</v>
      </c>
      <c r="F78" s="159">
        <v>35</v>
      </c>
      <c r="G78" s="159">
        <v>38.5</v>
      </c>
      <c r="H78" s="160">
        <f t="shared" si="3"/>
        <v>36.75</v>
      </c>
      <c r="I78" s="159">
        <v>4.7</v>
      </c>
      <c r="J78" s="159">
        <v>4.93</v>
      </c>
      <c r="K78" s="159">
        <v>1.99</v>
      </c>
      <c r="L78" s="159">
        <v>3.77</v>
      </c>
      <c r="M78" s="160">
        <f t="shared" si="4"/>
        <v>7.6949999999999994</v>
      </c>
      <c r="N78" s="159">
        <v>12.3</v>
      </c>
      <c r="O78" s="160">
        <f t="shared" si="5"/>
        <v>572.09552299124994</v>
      </c>
      <c r="P78" s="159">
        <v>0.46240999999999999</v>
      </c>
      <c r="Q78" s="159">
        <v>3.1968800000000002</v>
      </c>
      <c r="R78" s="159">
        <v>0.72380999999999995</v>
      </c>
      <c r="S78" s="161">
        <v>46.505800000000001</v>
      </c>
      <c r="T78" s="162" t="s">
        <v>191</v>
      </c>
      <c r="U78" s="162" t="s">
        <v>203</v>
      </c>
      <c r="V78" s="162" t="s">
        <v>205</v>
      </c>
    </row>
    <row r="79" spans="1:22">
      <c r="A79" s="158" t="s">
        <v>190</v>
      </c>
      <c r="B79" s="158">
        <v>184</v>
      </c>
      <c r="C79" s="158">
        <v>75</v>
      </c>
      <c r="D79" s="159">
        <v>26</v>
      </c>
      <c r="E79" s="159">
        <v>10.8</v>
      </c>
      <c r="F79" s="159">
        <v>37.5</v>
      </c>
      <c r="G79" s="159">
        <v>39</v>
      </c>
      <c r="H79" s="160">
        <f t="shared" si="3"/>
        <v>38.25</v>
      </c>
      <c r="I79" s="159">
        <v>2.92</v>
      </c>
      <c r="J79" s="159">
        <v>1.62</v>
      </c>
      <c r="K79" s="159">
        <v>4.4400000000000004</v>
      </c>
      <c r="L79" s="159">
        <v>3.89</v>
      </c>
      <c r="M79" s="160">
        <f t="shared" si="4"/>
        <v>6.4350000000000005</v>
      </c>
      <c r="N79" s="159">
        <v>15.2</v>
      </c>
      <c r="O79" s="160">
        <f t="shared" si="5"/>
        <v>494.40958281000007</v>
      </c>
      <c r="P79" s="159">
        <v>0.58462000000000003</v>
      </c>
      <c r="Q79" s="159">
        <v>4.7241600000000004</v>
      </c>
      <c r="R79" s="159">
        <v>0.67974000000000001</v>
      </c>
      <c r="S79" s="161">
        <v>32.5227</v>
      </c>
      <c r="T79" s="162" t="s">
        <v>191</v>
      </c>
      <c r="U79" s="162" t="s">
        <v>203</v>
      </c>
      <c r="V79" s="162" t="s">
        <v>205</v>
      </c>
    </row>
    <row r="80" spans="1:22">
      <c r="A80" s="158" t="s">
        <v>190</v>
      </c>
      <c r="B80" s="158">
        <v>186</v>
      </c>
      <c r="C80" s="158">
        <v>75</v>
      </c>
      <c r="D80" s="159">
        <v>28.4</v>
      </c>
      <c r="E80" s="159">
        <v>15.6</v>
      </c>
      <c r="F80" s="159">
        <v>37</v>
      </c>
      <c r="G80" s="159">
        <v>38.5</v>
      </c>
      <c r="H80" s="160">
        <f t="shared" si="3"/>
        <v>37.75</v>
      </c>
      <c r="I80" s="159">
        <v>1.87</v>
      </c>
      <c r="J80" s="159">
        <v>2.93</v>
      </c>
      <c r="K80" s="159">
        <v>2.98</v>
      </c>
      <c r="L80" s="159">
        <v>2.59</v>
      </c>
      <c r="M80" s="160">
        <f t="shared" si="4"/>
        <v>5.1850000000000005</v>
      </c>
      <c r="N80" s="159">
        <v>12.8</v>
      </c>
      <c r="O80" s="160">
        <f t="shared" si="5"/>
        <v>270.30475184000005</v>
      </c>
      <c r="P80" s="159">
        <v>0.45069999999999999</v>
      </c>
      <c r="Q80" s="159">
        <v>4.9373199999999997</v>
      </c>
      <c r="R80" s="159">
        <v>0.75231999999999999</v>
      </c>
      <c r="S80" s="161">
        <v>21.114799999999999</v>
      </c>
      <c r="T80" s="162" t="s">
        <v>191</v>
      </c>
      <c r="U80" s="162" t="s">
        <v>203</v>
      </c>
      <c r="V80" s="162" t="s">
        <v>205</v>
      </c>
    </row>
    <row r="81" spans="1:22">
      <c r="A81" s="158" t="s">
        <v>190</v>
      </c>
      <c r="B81" s="158">
        <v>188</v>
      </c>
      <c r="C81" s="158">
        <v>75</v>
      </c>
      <c r="D81" s="159">
        <v>27.4</v>
      </c>
      <c r="E81" s="159">
        <v>12.3</v>
      </c>
      <c r="F81" s="159">
        <v>30.5</v>
      </c>
      <c r="G81" s="159">
        <v>27</v>
      </c>
      <c r="H81" s="160">
        <f t="shared" si="3"/>
        <v>28.75</v>
      </c>
      <c r="I81" s="159">
        <v>1.79</v>
      </c>
      <c r="J81" s="159">
        <v>3.55</v>
      </c>
      <c r="K81" s="159">
        <v>4.46</v>
      </c>
      <c r="L81" s="159">
        <v>3.05</v>
      </c>
      <c r="M81" s="160">
        <f t="shared" si="4"/>
        <v>6.4250000000000007</v>
      </c>
      <c r="N81" s="159">
        <v>15.1</v>
      </c>
      <c r="O81" s="160">
        <f t="shared" si="5"/>
        <v>489.6315571562501</v>
      </c>
      <c r="P81" s="159">
        <v>0.55108999999999997</v>
      </c>
      <c r="Q81" s="159">
        <v>4.7003899999999996</v>
      </c>
      <c r="R81" s="159">
        <v>0.95304</v>
      </c>
      <c r="S81" s="161">
        <v>32.421700000000001</v>
      </c>
      <c r="T81" s="162" t="s">
        <v>191</v>
      </c>
      <c r="U81" s="162" t="s">
        <v>203</v>
      </c>
      <c r="V81" s="162" t="s">
        <v>205</v>
      </c>
    </row>
    <row r="82" spans="1:22">
      <c r="A82" s="159" t="s">
        <v>190</v>
      </c>
      <c r="B82" s="158">
        <v>190</v>
      </c>
      <c r="C82" s="158">
        <v>75</v>
      </c>
      <c r="D82" s="159">
        <v>24.6</v>
      </c>
      <c r="E82" s="159">
        <v>12.1</v>
      </c>
      <c r="F82" s="159">
        <v>33</v>
      </c>
      <c r="G82" s="159">
        <v>35</v>
      </c>
      <c r="H82" s="160">
        <f t="shared" si="3"/>
        <v>34</v>
      </c>
      <c r="I82" s="159">
        <v>5.67</v>
      </c>
      <c r="J82" s="159">
        <v>5.0599999999999996</v>
      </c>
      <c r="K82" s="159">
        <v>2.33</v>
      </c>
      <c r="L82" s="159">
        <v>5.87</v>
      </c>
      <c r="M82" s="160">
        <f t="shared" si="4"/>
        <v>9.4649999999999999</v>
      </c>
      <c r="N82" s="159">
        <v>12.5</v>
      </c>
      <c r="O82" s="160">
        <f t="shared" si="5"/>
        <v>879.62474671875009</v>
      </c>
      <c r="P82" s="159">
        <v>0.50812999999999997</v>
      </c>
      <c r="Q82" s="159">
        <v>2.6413099999999998</v>
      </c>
      <c r="R82" s="159">
        <v>0.72353000000000001</v>
      </c>
      <c r="S82" s="161">
        <v>70.360900000000001</v>
      </c>
      <c r="T82" s="162" t="s">
        <v>191</v>
      </c>
      <c r="U82" s="162" t="s">
        <v>203</v>
      </c>
      <c r="V82" s="162" t="s">
        <v>205</v>
      </c>
    </row>
    <row r="83" spans="1:22">
      <c r="A83" s="159" t="s">
        <v>190</v>
      </c>
      <c r="B83" s="158">
        <v>192</v>
      </c>
      <c r="C83" s="158">
        <v>75</v>
      </c>
      <c r="D83" s="159">
        <v>27</v>
      </c>
      <c r="E83" s="159">
        <v>13.5</v>
      </c>
      <c r="F83" s="159">
        <v>33</v>
      </c>
      <c r="G83" s="159">
        <v>35</v>
      </c>
      <c r="H83" s="160">
        <f t="shared" si="3"/>
        <v>34</v>
      </c>
      <c r="I83" s="159">
        <v>2.9</v>
      </c>
      <c r="J83" s="159">
        <v>2.77</v>
      </c>
      <c r="K83" s="159">
        <v>3.21</v>
      </c>
      <c r="L83" s="159">
        <v>4.18</v>
      </c>
      <c r="M83" s="160">
        <f t="shared" si="4"/>
        <v>6.5299999999999994</v>
      </c>
      <c r="N83" s="159">
        <v>13.5</v>
      </c>
      <c r="O83" s="160">
        <f t="shared" si="5"/>
        <v>452.17476382499996</v>
      </c>
      <c r="P83" s="159">
        <v>0.5</v>
      </c>
      <c r="Q83" s="159">
        <v>4.13476</v>
      </c>
      <c r="R83" s="159">
        <v>0.79412000000000005</v>
      </c>
      <c r="S83" s="161">
        <v>33.490099999999998</v>
      </c>
      <c r="T83" s="162" t="s">
        <v>191</v>
      </c>
      <c r="U83" s="162" t="s">
        <v>203</v>
      </c>
      <c r="V83" s="162" t="s">
        <v>205</v>
      </c>
    </row>
    <row r="84" spans="1:22">
      <c r="A84" s="158" t="s">
        <v>190</v>
      </c>
      <c r="B84" s="159">
        <v>194</v>
      </c>
      <c r="C84" s="159">
        <v>77</v>
      </c>
      <c r="D84" s="159">
        <v>22.85</v>
      </c>
      <c r="E84" s="159">
        <v>12.82</v>
      </c>
      <c r="F84" s="159">
        <v>33</v>
      </c>
      <c r="G84" s="159">
        <v>32</v>
      </c>
      <c r="H84" s="160">
        <f t="shared" si="3"/>
        <v>32.5</v>
      </c>
      <c r="I84" s="159">
        <v>2.4900000000000002</v>
      </c>
      <c r="J84" s="159">
        <v>4.1100000000000003</v>
      </c>
      <c r="K84" s="159">
        <v>3.39</v>
      </c>
      <c r="L84" s="159">
        <v>2.5499999999999998</v>
      </c>
      <c r="M84" s="160">
        <f t="shared" si="4"/>
        <v>6.27</v>
      </c>
      <c r="N84" s="159">
        <v>10.029999999999999</v>
      </c>
      <c r="O84" s="160">
        <f t="shared" si="5"/>
        <v>309.7292379884999</v>
      </c>
      <c r="P84" s="159">
        <v>0.43895000000000001</v>
      </c>
      <c r="Q84" s="159">
        <v>3.19936</v>
      </c>
      <c r="R84" s="159">
        <v>0.70308000000000004</v>
      </c>
      <c r="S84" s="161">
        <v>30.876280000000001</v>
      </c>
      <c r="T84" s="162" t="s">
        <v>191</v>
      </c>
      <c r="U84" s="162" t="s">
        <v>206</v>
      </c>
      <c r="V84" s="163" t="s">
        <v>207</v>
      </c>
    </row>
    <row r="85" spans="1:22">
      <c r="A85" s="158" t="s">
        <v>190</v>
      </c>
      <c r="B85" s="159">
        <v>196</v>
      </c>
      <c r="C85" s="159">
        <v>77</v>
      </c>
      <c r="D85" s="159">
        <v>23.83</v>
      </c>
      <c r="E85" s="159">
        <v>11.53</v>
      </c>
      <c r="F85" s="159">
        <v>36</v>
      </c>
      <c r="G85" s="159">
        <v>35</v>
      </c>
      <c r="H85" s="160">
        <f t="shared" si="3"/>
        <v>35.5</v>
      </c>
      <c r="I85" s="159">
        <v>3.36</v>
      </c>
      <c r="J85" s="159">
        <v>2.6</v>
      </c>
      <c r="K85" s="159">
        <v>3.76</v>
      </c>
      <c r="L85" s="159">
        <v>3.94</v>
      </c>
      <c r="M85" s="160">
        <f t="shared" si="4"/>
        <v>6.8299999999999992</v>
      </c>
      <c r="N85" s="159">
        <v>12.3</v>
      </c>
      <c r="O85" s="160">
        <f t="shared" si="5"/>
        <v>450.70534468499994</v>
      </c>
      <c r="P85" s="159">
        <v>0.51615999999999995</v>
      </c>
      <c r="Q85" s="159">
        <v>3.6017600000000001</v>
      </c>
      <c r="R85" s="159">
        <v>0.67127000000000003</v>
      </c>
      <c r="S85" s="161">
        <v>36.63796</v>
      </c>
      <c r="T85" s="162" t="s">
        <v>191</v>
      </c>
      <c r="U85" s="162" t="s">
        <v>206</v>
      </c>
      <c r="V85" s="163" t="s">
        <v>207</v>
      </c>
    </row>
    <row r="86" spans="1:22">
      <c r="A86" s="158" t="s">
        <v>190</v>
      </c>
      <c r="B86" s="159">
        <v>198</v>
      </c>
      <c r="C86" s="159">
        <v>77</v>
      </c>
      <c r="D86" s="159">
        <v>20.61</v>
      </c>
      <c r="E86" s="159">
        <v>8.4499999999999993</v>
      </c>
      <c r="F86" s="159">
        <v>35</v>
      </c>
      <c r="G86" s="159">
        <v>33.5</v>
      </c>
      <c r="H86" s="160">
        <f t="shared" si="3"/>
        <v>34.25</v>
      </c>
      <c r="I86" s="159">
        <v>2.13</v>
      </c>
      <c r="J86" s="159">
        <v>1.44</v>
      </c>
      <c r="K86" s="159">
        <v>1.82</v>
      </c>
      <c r="L86" s="159">
        <v>3.88</v>
      </c>
      <c r="M86" s="160">
        <f t="shared" si="4"/>
        <v>4.6349999999999998</v>
      </c>
      <c r="N86" s="159">
        <v>12.16</v>
      </c>
      <c r="O86" s="160">
        <f t="shared" si="5"/>
        <v>205.20089056799998</v>
      </c>
      <c r="P86" s="159">
        <v>0.59</v>
      </c>
      <c r="Q86" s="159">
        <v>5.2470299999999996</v>
      </c>
      <c r="R86" s="159">
        <v>0.60175000000000001</v>
      </c>
      <c r="S86" s="161">
        <v>16.872890000000002</v>
      </c>
      <c r="T86" s="162" t="s">
        <v>191</v>
      </c>
      <c r="U86" s="162" t="s">
        <v>206</v>
      </c>
      <c r="V86" s="163" t="s">
        <v>207</v>
      </c>
    </row>
    <row r="87" spans="1:22">
      <c r="A87" s="159" t="s">
        <v>190</v>
      </c>
      <c r="B87" s="159">
        <v>200</v>
      </c>
      <c r="C87" s="159">
        <v>77</v>
      </c>
      <c r="D87" s="159">
        <v>26.55</v>
      </c>
      <c r="E87" s="159">
        <v>15.97</v>
      </c>
      <c r="F87" s="159">
        <v>33</v>
      </c>
      <c r="G87" s="159">
        <v>34.5</v>
      </c>
      <c r="H87" s="160">
        <f t="shared" si="3"/>
        <v>33.75</v>
      </c>
      <c r="I87" s="159">
        <v>1</v>
      </c>
      <c r="J87" s="159">
        <v>5.71</v>
      </c>
      <c r="K87" s="159">
        <v>4.53</v>
      </c>
      <c r="L87" s="159">
        <v>2.66</v>
      </c>
      <c r="M87" s="160">
        <f t="shared" si="4"/>
        <v>6.95</v>
      </c>
      <c r="N87" s="159">
        <v>10.58</v>
      </c>
      <c r="O87" s="160">
        <f t="shared" si="5"/>
        <v>401.422273475</v>
      </c>
      <c r="P87" s="159">
        <v>0.39849000000000001</v>
      </c>
      <c r="Q87" s="159">
        <v>3.0446</v>
      </c>
      <c r="R87" s="159">
        <v>0.78666999999999998</v>
      </c>
      <c r="S87" s="161">
        <v>37.936689999999999</v>
      </c>
      <c r="T87" s="162" t="s">
        <v>191</v>
      </c>
      <c r="U87" s="162" t="s">
        <v>206</v>
      </c>
      <c r="V87" s="163" t="s">
        <v>207</v>
      </c>
    </row>
    <row r="88" spans="1:22">
      <c r="A88" s="158" t="s">
        <v>190</v>
      </c>
      <c r="B88" s="159">
        <v>202</v>
      </c>
      <c r="C88" s="159">
        <v>77</v>
      </c>
      <c r="D88" s="159">
        <v>26.91</v>
      </c>
      <c r="E88" s="159">
        <v>14.77</v>
      </c>
      <c r="F88" s="159">
        <v>41</v>
      </c>
      <c r="G88" s="159">
        <v>42.5</v>
      </c>
      <c r="H88" s="160">
        <f t="shared" si="3"/>
        <v>41.75</v>
      </c>
      <c r="I88" s="159">
        <v>3.09</v>
      </c>
      <c r="J88" s="159">
        <v>5.5</v>
      </c>
      <c r="K88" s="159">
        <v>4.5999999999999996</v>
      </c>
      <c r="L88" s="159">
        <v>3.34</v>
      </c>
      <c r="M88" s="160">
        <f t="shared" si="4"/>
        <v>8.2650000000000006</v>
      </c>
      <c r="N88" s="159">
        <v>12.14</v>
      </c>
      <c r="O88" s="160">
        <f t="shared" si="5"/>
        <v>651.40425629325</v>
      </c>
      <c r="P88" s="159">
        <v>0.45112999999999998</v>
      </c>
      <c r="Q88" s="159">
        <v>2.9376899999999999</v>
      </c>
      <c r="R88" s="159">
        <v>0.64454999999999996</v>
      </c>
      <c r="S88" s="161">
        <v>53.650730000000003</v>
      </c>
      <c r="T88" s="162" t="s">
        <v>191</v>
      </c>
      <c r="U88" s="162" t="s">
        <v>206</v>
      </c>
      <c r="V88" s="163" t="s">
        <v>207</v>
      </c>
    </row>
    <row r="89" spans="1:22">
      <c r="A89" s="158" t="s">
        <v>190</v>
      </c>
      <c r="B89" s="159">
        <v>201</v>
      </c>
      <c r="C89" s="159">
        <v>77</v>
      </c>
      <c r="D89" s="159">
        <v>29.95</v>
      </c>
      <c r="E89" s="159">
        <v>16.260000000000002</v>
      </c>
      <c r="F89" s="159">
        <v>45</v>
      </c>
      <c r="G89" s="159">
        <v>45</v>
      </c>
      <c r="H89" s="160">
        <f t="shared" si="3"/>
        <v>45</v>
      </c>
      <c r="I89" s="159">
        <v>1.65</v>
      </c>
      <c r="J89" s="159">
        <v>5.05</v>
      </c>
      <c r="K89" s="159">
        <v>7.51</v>
      </c>
      <c r="L89" s="159">
        <v>4.93</v>
      </c>
      <c r="M89" s="160">
        <f t="shared" si="4"/>
        <v>9.57</v>
      </c>
      <c r="N89" s="159">
        <v>13.69</v>
      </c>
      <c r="O89" s="160">
        <f t="shared" si="5"/>
        <v>984.85776422549998</v>
      </c>
      <c r="P89" s="159">
        <v>0.45710000000000001</v>
      </c>
      <c r="Q89" s="159">
        <v>2.8610199999999999</v>
      </c>
      <c r="R89" s="159">
        <v>0.66556000000000004</v>
      </c>
      <c r="S89" s="161">
        <v>71.930610000000001</v>
      </c>
      <c r="T89" s="162" t="s">
        <v>191</v>
      </c>
      <c r="U89" s="162" t="s">
        <v>206</v>
      </c>
      <c r="V89" s="163" t="s">
        <v>207</v>
      </c>
    </row>
    <row r="90" spans="1:22">
      <c r="A90" s="159" t="s">
        <v>190</v>
      </c>
      <c r="B90" s="159">
        <v>206</v>
      </c>
      <c r="C90" s="159">
        <v>77</v>
      </c>
      <c r="D90" s="159">
        <v>26.81</v>
      </c>
      <c r="E90" s="159">
        <v>13.54</v>
      </c>
      <c r="F90" s="159">
        <v>33</v>
      </c>
      <c r="G90" s="159">
        <v>33.5</v>
      </c>
      <c r="H90" s="160">
        <f t="shared" si="3"/>
        <v>33.25</v>
      </c>
      <c r="I90" s="159">
        <v>3.62</v>
      </c>
      <c r="J90" s="159">
        <v>3.04</v>
      </c>
      <c r="K90" s="159">
        <v>2.11</v>
      </c>
      <c r="L90" s="159">
        <v>1.91</v>
      </c>
      <c r="M90" s="160">
        <f t="shared" si="4"/>
        <v>5.34</v>
      </c>
      <c r="N90" s="159">
        <v>13.27</v>
      </c>
      <c r="O90" s="160">
        <f t="shared" si="5"/>
        <v>297.23478042599999</v>
      </c>
      <c r="P90" s="159">
        <v>0.49496000000000001</v>
      </c>
      <c r="Q90" s="159">
        <v>4.9691099999999997</v>
      </c>
      <c r="R90" s="159">
        <v>0.80632000000000004</v>
      </c>
      <c r="S90" s="161">
        <v>22.404489999999999</v>
      </c>
      <c r="T90" s="162" t="s">
        <v>191</v>
      </c>
      <c r="U90" s="162" t="s">
        <v>206</v>
      </c>
      <c r="V90" s="163" t="s">
        <v>207</v>
      </c>
    </row>
    <row r="91" spans="1:22">
      <c r="A91" s="159" t="s">
        <v>190</v>
      </c>
      <c r="B91" s="159">
        <v>208</v>
      </c>
      <c r="C91" s="159">
        <v>77</v>
      </c>
      <c r="D91" s="159">
        <v>25.88</v>
      </c>
      <c r="E91" s="159">
        <v>15.08</v>
      </c>
      <c r="F91" s="159">
        <v>41</v>
      </c>
      <c r="G91" s="159">
        <v>45.5</v>
      </c>
      <c r="H91" s="160">
        <f t="shared" si="3"/>
        <v>43.25</v>
      </c>
      <c r="I91" s="159">
        <v>2.2000000000000002</v>
      </c>
      <c r="J91" s="159">
        <v>5.67</v>
      </c>
      <c r="K91" s="159">
        <v>5.5</v>
      </c>
      <c r="L91" s="159">
        <v>2.62</v>
      </c>
      <c r="M91" s="160">
        <f t="shared" si="4"/>
        <v>7.995000000000001</v>
      </c>
      <c r="N91" s="159">
        <v>10.8</v>
      </c>
      <c r="O91" s="160">
        <f t="shared" si="5"/>
        <v>542.25914008500024</v>
      </c>
      <c r="P91" s="159">
        <v>0.41731000000000001</v>
      </c>
      <c r="Q91" s="159">
        <v>2.7016900000000001</v>
      </c>
      <c r="R91" s="159">
        <v>0.59838000000000002</v>
      </c>
      <c r="S91" s="161">
        <v>50.202669999999998</v>
      </c>
      <c r="T91" s="162" t="s">
        <v>191</v>
      </c>
      <c r="U91" s="162" t="s">
        <v>206</v>
      </c>
      <c r="V91" s="163" t="s">
        <v>207</v>
      </c>
    </row>
    <row r="92" spans="1:22">
      <c r="A92" s="158" t="s">
        <v>190</v>
      </c>
      <c r="B92" s="159">
        <v>164</v>
      </c>
      <c r="C92" s="159">
        <v>81</v>
      </c>
      <c r="D92" s="159">
        <v>19.559999999999999</v>
      </c>
      <c r="E92" s="159">
        <v>11.25</v>
      </c>
      <c r="F92" s="159">
        <v>18</v>
      </c>
      <c r="G92" s="159">
        <v>19</v>
      </c>
      <c r="H92" s="160">
        <f t="shared" si="3"/>
        <v>18.5</v>
      </c>
      <c r="I92" s="159">
        <v>0.96</v>
      </c>
      <c r="J92" s="159">
        <v>0.64</v>
      </c>
      <c r="K92" s="159">
        <v>2.06</v>
      </c>
      <c r="L92" s="159">
        <v>4.9400000000000004</v>
      </c>
      <c r="M92" s="160">
        <f t="shared" si="4"/>
        <v>4.3000000000000007</v>
      </c>
      <c r="N92" s="159">
        <v>8.31</v>
      </c>
      <c r="O92" s="160">
        <f t="shared" si="5"/>
        <v>120.69356745000003</v>
      </c>
      <c r="P92" s="159">
        <v>0.42485000000000001</v>
      </c>
      <c r="Q92" s="159">
        <v>3.8651200000000001</v>
      </c>
      <c r="R92" s="159">
        <v>1.0572999999999999</v>
      </c>
      <c r="S92" s="161">
        <v>14.522</v>
      </c>
      <c r="T92" s="162" t="s">
        <v>191</v>
      </c>
      <c r="U92" s="162" t="s">
        <v>99</v>
      </c>
      <c r="V92" s="163" t="s">
        <v>208</v>
      </c>
    </row>
    <row r="93" spans="1:22">
      <c r="A93" s="158" t="s">
        <v>190</v>
      </c>
      <c r="B93" s="159">
        <v>166</v>
      </c>
      <c r="C93" s="159">
        <v>81</v>
      </c>
      <c r="D93" s="159">
        <v>21.69</v>
      </c>
      <c r="E93" s="159">
        <v>11.64</v>
      </c>
      <c r="F93" s="159">
        <v>23.5</v>
      </c>
      <c r="G93" s="159">
        <v>25</v>
      </c>
      <c r="H93" s="160">
        <f t="shared" si="3"/>
        <v>24.25</v>
      </c>
      <c r="I93" s="159">
        <v>2.78</v>
      </c>
      <c r="J93" s="159">
        <v>3.07</v>
      </c>
      <c r="K93" s="159">
        <v>0.82</v>
      </c>
      <c r="L93" s="159">
        <v>1.67</v>
      </c>
      <c r="M93" s="160">
        <f t="shared" si="4"/>
        <v>4.17</v>
      </c>
      <c r="N93" s="159">
        <v>10.1</v>
      </c>
      <c r="O93" s="160">
        <f t="shared" si="5"/>
        <v>137.95570759500001</v>
      </c>
      <c r="P93" s="159">
        <v>0.46334999999999998</v>
      </c>
      <c r="Q93" s="159">
        <v>4.8201400000000003</v>
      </c>
      <c r="R93" s="159">
        <v>0.89442999999999995</v>
      </c>
      <c r="S93" s="161">
        <v>13.6572</v>
      </c>
      <c r="T93" s="162" t="s">
        <v>191</v>
      </c>
      <c r="U93" s="162" t="s">
        <v>99</v>
      </c>
      <c r="V93" s="163" t="s">
        <v>208</v>
      </c>
    </row>
    <row r="94" spans="1:22">
      <c r="A94" s="158" t="s">
        <v>190</v>
      </c>
      <c r="B94" s="159">
        <v>170</v>
      </c>
      <c r="C94" s="159">
        <v>81</v>
      </c>
      <c r="D94" s="159">
        <v>23.75</v>
      </c>
      <c r="E94" s="159">
        <v>15.82</v>
      </c>
      <c r="F94" s="159">
        <v>27.5</v>
      </c>
      <c r="G94" s="159">
        <v>26</v>
      </c>
      <c r="H94" s="160">
        <f t="shared" si="3"/>
        <v>26.75</v>
      </c>
      <c r="I94" s="159">
        <v>1.03</v>
      </c>
      <c r="J94" s="159">
        <v>2.94</v>
      </c>
      <c r="K94" s="159">
        <v>1.95</v>
      </c>
      <c r="L94" s="159">
        <v>2.0099999999999998</v>
      </c>
      <c r="M94" s="160">
        <f t="shared" si="4"/>
        <v>3.9649999999999999</v>
      </c>
      <c r="N94" s="159">
        <v>7.93</v>
      </c>
      <c r="O94" s="160">
        <f t="shared" si="5"/>
        <v>97.927746343374977</v>
      </c>
      <c r="P94" s="159">
        <v>0.33389000000000002</v>
      </c>
      <c r="Q94" s="159">
        <v>4</v>
      </c>
      <c r="R94" s="159">
        <v>0.88785000000000003</v>
      </c>
      <c r="S94" s="161">
        <v>12.3474</v>
      </c>
      <c r="T94" s="162" t="s">
        <v>191</v>
      </c>
      <c r="U94" s="162" t="s">
        <v>99</v>
      </c>
      <c r="V94" s="163" t="s">
        <v>208</v>
      </c>
    </row>
    <row r="95" spans="1:22">
      <c r="A95" s="158" t="s">
        <v>190</v>
      </c>
      <c r="B95" s="159">
        <v>162</v>
      </c>
      <c r="C95" s="159">
        <v>81</v>
      </c>
      <c r="D95" s="159">
        <v>21.38</v>
      </c>
      <c r="E95" s="159">
        <v>14.12</v>
      </c>
      <c r="F95" s="159">
        <v>25.5</v>
      </c>
      <c r="G95" s="159">
        <v>23</v>
      </c>
      <c r="H95" s="160">
        <f t="shared" si="3"/>
        <v>24.25</v>
      </c>
      <c r="I95" s="159">
        <v>2.96</v>
      </c>
      <c r="J95" s="159">
        <v>2.34</v>
      </c>
      <c r="K95" s="159">
        <v>0.71</v>
      </c>
      <c r="L95" s="159">
        <v>2.89</v>
      </c>
      <c r="M95" s="160">
        <f t="shared" si="4"/>
        <v>4.45</v>
      </c>
      <c r="N95" s="159">
        <v>7.26</v>
      </c>
      <c r="O95" s="160">
        <f t="shared" si="5"/>
        <v>112.928310825</v>
      </c>
      <c r="P95" s="159">
        <v>0.33956999999999998</v>
      </c>
      <c r="Q95" s="159">
        <v>3.2629199999999998</v>
      </c>
      <c r="R95" s="159">
        <v>0.88165000000000004</v>
      </c>
      <c r="S95" s="161">
        <v>15.5528</v>
      </c>
      <c r="T95" s="162" t="s">
        <v>191</v>
      </c>
      <c r="U95" s="162" t="s">
        <v>99</v>
      </c>
      <c r="V95" s="163" t="s">
        <v>208</v>
      </c>
    </row>
    <row r="96" spans="1:22">
      <c r="A96" s="159" t="s">
        <v>190</v>
      </c>
      <c r="B96" s="159">
        <v>168</v>
      </c>
      <c r="C96" s="159">
        <v>81</v>
      </c>
      <c r="D96" s="159">
        <v>21.45</v>
      </c>
      <c r="E96" s="159">
        <v>13.27</v>
      </c>
      <c r="F96" s="159">
        <v>29</v>
      </c>
      <c r="G96" s="159">
        <v>24.5</v>
      </c>
      <c r="H96" s="160">
        <f t="shared" si="3"/>
        <v>26.75</v>
      </c>
      <c r="I96" s="159">
        <v>3.93</v>
      </c>
      <c r="J96" s="159">
        <v>1.47</v>
      </c>
      <c r="K96" s="159">
        <v>0.71</v>
      </c>
      <c r="L96" s="159">
        <v>1.46</v>
      </c>
      <c r="M96" s="160">
        <f t="shared" si="4"/>
        <v>3.7850000000000001</v>
      </c>
      <c r="N96" s="159">
        <v>8.18</v>
      </c>
      <c r="O96" s="160">
        <f t="shared" si="5"/>
        <v>92.051582852750002</v>
      </c>
      <c r="P96" s="159">
        <v>0.38135000000000002</v>
      </c>
      <c r="Q96" s="159">
        <v>4.3223200000000004</v>
      </c>
      <c r="R96" s="159">
        <v>0.80186999999999997</v>
      </c>
      <c r="S96" s="161">
        <v>11.2516</v>
      </c>
      <c r="T96" s="162" t="s">
        <v>191</v>
      </c>
      <c r="U96" s="162" t="s">
        <v>99</v>
      </c>
      <c r="V96" s="163" t="s">
        <v>208</v>
      </c>
    </row>
    <row r="97" spans="1:22">
      <c r="A97" s="159" t="s">
        <v>190</v>
      </c>
      <c r="B97" s="159">
        <v>172</v>
      </c>
      <c r="C97" s="159">
        <v>81</v>
      </c>
      <c r="D97" s="159">
        <v>24.33</v>
      </c>
      <c r="E97" s="159">
        <v>15.32</v>
      </c>
      <c r="F97" s="159">
        <v>29</v>
      </c>
      <c r="G97" s="159">
        <v>28.5</v>
      </c>
      <c r="H97" s="160">
        <f t="shared" si="3"/>
        <v>28.75</v>
      </c>
      <c r="I97" s="159">
        <v>2.25</v>
      </c>
      <c r="J97" s="159">
        <v>2.79</v>
      </c>
      <c r="K97" s="159">
        <v>2.56</v>
      </c>
      <c r="L97" s="159">
        <v>3.29</v>
      </c>
      <c r="M97" s="160">
        <f t="shared" si="4"/>
        <v>5.4450000000000003</v>
      </c>
      <c r="N97" s="159">
        <v>9.01</v>
      </c>
      <c r="O97" s="160">
        <f t="shared" si="5"/>
        <v>209.82959797387502</v>
      </c>
      <c r="P97" s="159">
        <v>0.37031999999999998</v>
      </c>
      <c r="Q97" s="159">
        <v>3.3094600000000001</v>
      </c>
      <c r="R97" s="159">
        <v>0.84626000000000001</v>
      </c>
      <c r="S97" s="161">
        <v>23.285499999999999</v>
      </c>
      <c r="T97" s="162" t="s">
        <v>191</v>
      </c>
      <c r="U97" s="162" t="s">
        <v>99</v>
      </c>
      <c r="V97" s="163" t="s">
        <v>208</v>
      </c>
    </row>
    <row r="98" spans="1:22">
      <c r="A98" s="159" t="s">
        <v>190</v>
      </c>
      <c r="B98" s="159">
        <v>210</v>
      </c>
      <c r="C98" s="159">
        <v>115</v>
      </c>
      <c r="D98" s="159">
        <v>26.08</v>
      </c>
      <c r="E98" s="159">
        <v>12.04</v>
      </c>
      <c r="F98" s="159">
        <v>49.5</v>
      </c>
      <c r="G98" s="159">
        <v>55</v>
      </c>
      <c r="H98" s="160">
        <f t="shared" si="3"/>
        <v>52.25</v>
      </c>
      <c r="I98" s="159">
        <v>2.2000000000000002</v>
      </c>
      <c r="J98" s="159">
        <v>4.57</v>
      </c>
      <c r="K98" s="159">
        <v>5.79</v>
      </c>
      <c r="L98" s="159">
        <v>5.0599999999999996</v>
      </c>
      <c r="M98" s="160">
        <f t="shared" si="4"/>
        <v>8.81</v>
      </c>
      <c r="N98" s="159">
        <v>14.04</v>
      </c>
      <c r="O98" s="160">
        <f t="shared" si="5"/>
        <v>855.98294956199993</v>
      </c>
      <c r="P98" s="159">
        <v>0.53834000000000004</v>
      </c>
      <c r="Q98" s="159">
        <v>3.18729</v>
      </c>
      <c r="R98" s="159">
        <v>0.49913999999999997</v>
      </c>
      <c r="S98" s="161">
        <v>60.959539999999997</v>
      </c>
      <c r="T98" s="162" t="s">
        <v>209</v>
      </c>
      <c r="U98" s="162" t="s">
        <v>210</v>
      </c>
      <c r="V98" s="163" t="s">
        <v>211</v>
      </c>
    </row>
    <row r="99" spans="1:22">
      <c r="A99" s="159" t="s">
        <v>190</v>
      </c>
      <c r="B99" s="159">
        <v>212</v>
      </c>
      <c r="C99" s="159">
        <v>115</v>
      </c>
      <c r="D99" s="159">
        <v>27.18</v>
      </c>
      <c r="E99" s="159">
        <v>12.76</v>
      </c>
      <c r="F99" s="159">
        <v>54</v>
      </c>
      <c r="G99" s="159">
        <v>53.5</v>
      </c>
      <c r="H99" s="160">
        <f t="shared" si="3"/>
        <v>53.75</v>
      </c>
      <c r="I99" s="159">
        <v>6</v>
      </c>
      <c r="J99" s="159">
        <v>9.48</v>
      </c>
      <c r="K99" s="159">
        <v>6.12</v>
      </c>
      <c r="L99" s="159">
        <v>2.68</v>
      </c>
      <c r="M99" s="160">
        <f t="shared" si="4"/>
        <v>12.14</v>
      </c>
      <c r="N99" s="159">
        <v>14.42</v>
      </c>
      <c r="O99" s="160">
        <f t="shared" si="5"/>
        <v>1669.3554650359999</v>
      </c>
      <c r="P99" s="159">
        <v>0.53054000000000001</v>
      </c>
      <c r="Q99" s="159">
        <v>2.3756200000000001</v>
      </c>
      <c r="R99" s="159">
        <v>0.50566999999999995</v>
      </c>
      <c r="S99" s="161">
        <v>115.7517</v>
      </c>
      <c r="T99" s="162" t="s">
        <v>209</v>
      </c>
      <c r="U99" s="162" t="s">
        <v>210</v>
      </c>
      <c r="V99" s="163" t="s">
        <v>211</v>
      </c>
    </row>
    <row r="100" spans="1:22">
      <c r="A100" s="159" t="s">
        <v>190</v>
      </c>
      <c r="B100" s="159">
        <v>214</v>
      </c>
      <c r="C100" s="159">
        <v>115</v>
      </c>
      <c r="D100" s="159">
        <v>24</v>
      </c>
      <c r="E100" s="159">
        <v>13.27</v>
      </c>
      <c r="F100" s="159">
        <v>47.5</v>
      </c>
      <c r="G100" s="159">
        <v>49.5</v>
      </c>
      <c r="H100" s="160">
        <f t="shared" si="3"/>
        <v>48.5</v>
      </c>
      <c r="I100" s="159">
        <v>5.7</v>
      </c>
      <c r="J100" s="159">
        <v>4.59</v>
      </c>
      <c r="K100" s="159">
        <v>2.6</v>
      </c>
      <c r="L100" s="159">
        <v>8.41</v>
      </c>
      <c r="M100" s="160">
        <f t="shared" si="4"/>
        <v>10.649999999999999</v>
      </c>
      <c r="N100" s="159">
        <v>10.73</v>
      </c>
      <c r="O100" s="160">
        <f t="shared" si="5"/>
        <v>955.97190033749973</v>
      </c>
      <c r="P100" s="159">
        <v>0.44707999999999998</v>
      </c>
      <c r="Q100" s="159">
        <v>2.0150199999999998</v>
      </c>
      <c r="R100" s="159">
        <v>0.49485000000000001</v>
      </c>
      <c r="S100" s="161">
        <v>89.081819999999993</v>
      </c>
      <c r="T100" s="162" t="s">
        <v>209</v>
      </c>
      <c r="U100" s="162" t="s">
        <v>210</v>
      </c>
      <c r="V100" s="163" t="s">
        <v>211</v>
      </c>
    </row>
    <row r="101" spans="1:22">
      <c r="A101" s="159" t="s">
        <v>190</v>
      </c>
      <c r="B101" s="159">
        <v>216</v>
      </c>
      <c r="C101" s="159">
        <v>115</v>
      </c>
      <c r="D101" s="159">
        <v>24.33</v>
      </c>
      <c r="E101" s="159">
        <v>13.51</v>
      </c>
      <c r="F101" s="159">
        <v>47</v>
      </c>
      <c r="G101" s="159">
        <v>47.5</v>
      </c>
      <c r="H101" s="160">
        <f t="shared" si="3"/>
        <v>47.25</v>
      </c>
      <c r="I101" s="159">
        <v>2.99</v>
      </c>
      <c r="J101" s="159">
        <v>9.1</v>
      </c>
      <c r="K101" s="159">
        <v>8.33</v>
      </c>
      <c r="L101" s="159">
        <v>2.93</v>
      </c>
      <c r="M101" s="160">
        <f t="shared" si="4"/>
        <v>11.675000000000001</v>
      </c>
      <c r="N101" s="159">
        <v>10.82</v>
      </c>
      <c r="O101" s="160">
        <f t="shared" si="5"/>
        <v>1158.4765004937501</v>
      </c>
      <c r="P101" s="159">
        <v>0.44472</v>
      </c>
      <c r="Q101" s="159">
        <v>1.8535299999999999</v>
      </c>
      <c r="R101" s="159">
        <v>0.51492000000000004</v>
      </c>
      <c r="S101" s="161">
        <v>107.05419999999999</v>
      </c>
      <c r="T101" s="162" t="s">
        <v>209</v>
      </c>
      <c r="U101" s="162" t="s">
        <v>210</v>
      </c>
      <c r="V101" s="163" t="s">
        <v>211</v>
      </c>
    </row>
    <row r="102" spans="1:22">
      <c r="A102" s="159" t="s">
        <v>190</v>
      </c>
      <c r="B102" s="159">
        <v>218</v>
      </c>
      <c r="C102" s="159">
        <v>115</v>
      </c>
      <c r="D102" s="159">
        <v>27.34</v>
      </c>
      <c r="E102" s="159">
        <v>14.11</v>
      </c>
      <c r="F102" s="159">
        <v>46</v>
      </c>
      <c r="G102" s="159">
        <v>52</v>
      </c>
      <c r="H102" s="160">
        <f t="shared" si="3"/>
        <v>49</v>
      </c>
      <c r="I102" s="159">
        <v>2.48</v>
      </c>
      <c r="J102" s="159">
        <v>6.09</v>
      </c>
      <c r="K102" s="159">
        <v>5.45</v>
      </c>
      <c r="L102" s="159">
        <v>2.42</v>
      </c>
      <c r="M102" s="160">
        <f t="shared" si="4"/>
        <v>8.2199999999999989</v>
      </c>
      <c r="N102" s="159">
        <v>13.23</v>
      </c>
      <c r="O102" s="160">
        <f t="shared" si="5"/>
        <v>702.18196158599983</v>
      </c>
      <c r="P102" s="159">
        <v>0.48391000000000001</v>
      </c>
      <c r="Q102" s="159">
        <v>3.2189800000000002</v>
      </c>
      <c r="R102" s="159">
        <v>0.55796000000000001</v>
      </c>
      <c r="S102" s="161">
        <v>53.068100000000001</v>
      </c>
      <c r="T102" s="162" t="s">
        <v>209</v>
      </c>
      <c r="U102" s="162" t="s">
        <v>210</v>
      </c>
      <c r="V102" s="163" t="s">
        <v>211</v>
      </c>
    </row>
    <row r="103" spans="1:22">
      <c r="A103" s="159" t="s">
        <v>190</v>
      </c>
      <c r="B103" s="159">
        <v>220</v>
      </c>
      <c r="C103" s="159">
        <v>118</v>
      </c>
      <c r="D103" s="159">
        <v>25.49</v>
      </c>
      <c r="E103" s="159">
        <v>13.24</v>
      </c>
      <c r="F103" s="159">
        <v>49.5</v>
      </c>
      <c r="G103" s="159">
        <v>52</v>
      </c>
      <c r="H103" s="160">
        <f t="shared" si="3"/>
        <v>50.75</v>
      </c>
      <c r="I103" s="159">
        <v>3.35</v>
      </c>
      <c r="J103" s="159">
        <v>3.77</v>
      </c>
      <c r="K103" s="159">
        <v>7.67</v>
      </c>
      <c r="L103" s="159">
        <v>6.58</v>
      </c>
      <c r="M103" s="160">
        <f t="shared" si="4"/>
        <v>10.684999999999999</v>
      </c>
      <c r="N103" s="159">
        <v>12.25</v>
      </c>
      <c r="O103" s="160">
        <f t="shared" si="5"/>
        <v>1098.5790964093746</v>
      </c>
      <c r="P103" s="159">
        <v>0.48058000000000001</v>
      </c>
      <c r="Q103" s="159">
        <v>2.2929300000000001</v>
      </c>
      <c r="R103" s="159">
        <v>0.50226999999999999</v>
      </c>
      <c r="S103" s="161">
        <v>89.668300000000002</v>
      </c>
      <c r="T103" s="162" t="s">
        <v>209</v>
      </c>
      <c r="U103" s="162" t="s">
        <v>210</v>
      </c>
      <c r="V103" s="163" t="s">
        <v>212</v>
      </c>
    </row>
    <row r="104" spans="1:22">
      <c r="A104" s="158" t="s">
        <v>190</v>
      </c>
      <c r="B104" s="159">
        <v>222</v>
      </c>
      <c r="C104" s="159">
        <v>118</v>
      </c>
      <c r="D104" s="159">
        <v>25.46</v>
      </c>
      <c r="E104" s="159">
        <v>15.23</v>
      </c>
      <c r="F104" s="159">
        <v>38.5</v>
      </c>
      <c r="G104" s="159">
        <v>39</v>
      </c>
      <c r="H104" s="160">
        <f t="shared" si="3"/>
        <v>38.75</v>
      </c>
      <c r="I104" s="159">
        <v>2.67</v>
      </c>
      <c r="J104" s="159">
        <v>3.75</v>
      </c>
      <c r="K104" s="159">
        <v>5.53</v>
      </c>
      <c r="L104" s="159">
        <v>4.83</v>
      </c>
      <c r="M104" s="160">
        <f t="shared" si="4"/>
        <v>8.39</v>
      </c>
      <c r="N104" s="159">
        <v>10.23</v>
      </c>
      <c r="O104" s="160">
        <f t="shared" si="5"/>
        <v>565.64733424650012</v>
      </c>
      <c r="P104" s="159">
        <v>0.40181</v>
      </c>
      <c r="Q104" s="159">
        <v>2.4386199999999998</v>
      </c>
      <c r="R104" s="159">
        <v>0.65703</v>
      </c>
      <c r="S104" s="161">
        <v>55.285829999999997</v>
      </c>
      <c r="T104" s="162" t="s">
        <v>209</v>
      </c>
      <c r="U104" s="162" t="s">
        <v>210</v>
      </c>
      <c r="V104" s="163" t="s">
        <v>212</v>
      </c>
    </row>
    <row r="105" spans="1:22">
      <c r="A105" s="158" t="s">
        <v>190</v>
      </c>
      <c r="B105" s="159">
        <v>224</v>
      </c>
      <c r="C105" s="159">
        <v>118</v>
      </c>
      <c r="D105" s="159">
        <v>25.1</v>
      </c>
      <c r="E105" s="159">
        <v>12.47</v>
      </c>
      <c r="F105" s="159">
        <v>41</v>
      </c>
      <c r="G105" s="159">
        <v>45</v>
      </c>
      <c r="H105" s="160">
        <f t="shared" si="3"/>
        <v>43</v>
      </c>
      <c r="I105" s="159">
        <v>4.01</v>
      </c>
      <c r="J105" s="159">
        <v>5.13</v>
      </c>
      <c r="K105" s="159">
        <v>5.78</v>
      </c>
      <c r="L105" s="159">
        <v>2.61</v>
      </c>
      <c r="M105" s="160">
        <f t="shared" si="4"/>
        <v>8.7650000000000006</v>
      </c>
      <c r="N105" s="159">
        <v>12.63</v>
      </c>
      <c r="O105" s="160">
        <f t="shared" si="5"/>
        <v>762.17268581962503</v>
      </c>
      <c r="P105" s="159">
        <v>0.50319000000000003</v>
      </c>
      <c r="Q105" s="159">
        <v>2.88192</v>
      </c>
      <c r="R105" s="159">
        <v>0.58372000000000002</v>
      </c>
      <c r="S105" s="161">
        <v>60.338389999999997</v>
      </c>
      <c r="T105" s="162" t="s">
        <v>209</v>
      </c>
      <c r="U105" s="162" t="s">
        <v>210</v>
      </c>
      <c r="V105" s="163" t="s">
        <v>212</v>
      </c>
    </row>
    <row r="106" spans="1:22">
      <c r="A106" s="158" t="s">
        <v>190</v>
      </c>
      <c r="B106" s="159">
        <v>226</v>
      </c>
      <c r="C106" s="159">
        <v>118</v>
      </c>
      <c r="D106" s="159">
        <v>23.92</v>
      </c>
      <c r="E106" s="159">
        <v>13.34</v>
      </c>
      <c r="F106" s="159">
        <v>37.5</v>
      </c>
      <c r="G106" s="159">
        <v>37.5</v>
      </c>
      <c r="H106" s="160">
        <f t="shared" si="3"/>
        <v>37.5</v>
      </c>
      <c r="I106" s="159">
        <v>4.2300000000000004</v>
      </c>
      <c r="J106" s="159">
        <v>4.74</v>
      </c>
      <c r="K106" s="159">
        <v>1.65</v>
      </c>
      <c r="L106" s="159">
        <v>2.94</v>
      </c>
      <c r="M106" s="160">
        <f t="shared" si="4"/>
        <v>6.78</v>
      </c>
      <c r="N106" s="159">
        <v>10.58</v>
      </c>
      <c r="O106" s="160">
        <f t="shared" si="5"/>
        <v>382.02452535599997</v>
      </c>
      <c r="P106" s="159">
        <v>0.44230999999999998</v>
      </c>
      <c r="Q106" s="159">
        <v>3.12094</v>
      </c>
      <c r="R106" s="159">
        <v>0.63787000000000005</v>
      </c>
      <c r="S106" s="161">
        <v>36.103499999999997</v>
      </c>
      <c r="T106" s="162" t="s">
        <v>209</v>
      </c>
      <c r="U106" s="162" t="s">
        <v>210</v>
      </c>
      <c r="V106" s="163" t="s">
        <v>212</v>
      </c>
    </row>
    <row r="107" spans="1:22">
      <c r="A107" s="158" t="s">
        <v>190</v>
      </c>
      <c r="B107" s="159">
        <v>228</v>
      </c>
      <c r="C107" s="159">
        <v>118</v>
      </c>
      <c r="D107" s="159">
        <v>22.74</v>
      </c>
      <c r="E107" s="159">
        <v>15.25</v>
      </c>
      <c r="F107" s="159">
        <v>35</v>
      </c>
      <c r="G107" s="159">
        <v>32</v>
      </c>
      <c r="H107" s="160">
        <f t="shared" si="3"/>
        <v>33.5</v>
      </c>
      <c r="I107" s="159">
        <v>3.54</v>
      </c>
      <c r="J107" s="159">
        <v>4.7</v>
      </c>
      <c r="K107" s="159">
        <v>2.77</v>
      </c>
      <c r="L107" s="159">
        <v>2.94</v>
      </c>
      <c r="M107" s="160">
        <f t="shared" si="4"/>
        <v>6.9749999999999996</v>
      </c>
      <c r="N107" s="159">
        <v>7.49</v>
      </c>
      <c r="O107" s="160">
        <f t="shared" si="5"/>
        <v>286.23084387187504</v>
      </c>
      <c r="P107" s="159">
        <v>0.32938000000000001</v>
      </c>
      <c r="Q107" s="159">
        <v>2.1476700000000002</v>
      </c>
      <c r="R107" s="159">
        <v>0.67881000000000002</v>
      </c>
      <c r="S107" s="161">
        <v>38.21011</v>
      </c>
      <c r="T107" s="162" t="s">
        <v>209</v>
      </c>
      <c r="U107" s="162" t="s">
        <v>210</v>
      </c>
      <c r="V107" s="163" t="s">
        <v>212</v>
      </c>
    </row>
    <row r="108" spans="1:22">
      <c r="A108" s="158" t="s">
        <v>55</v>
      </c>
      <c r="B108" s="159">
        <v>21</v>
      </c>
      <c r="C108" s="159">
        <v>9</v>
      </c>
      <c r="D108" s="159">
        <v>4.8</v>
      </c>
      <c r="E108" s="159">
        <v>1.68</v>
      </c>
      <c r="F108" s="159">
        <v>4.5</v>
      </c>
      <c r="G108" s="159">
        <v>4.5</v>
      </c>
      <c r="H108" s="160">
        <f t="shared" si="3"/>
        <v>4.5</v>
      </c>
      <c r="I108" s="159">
        <v>0.6</v>
      </c>
      <c r="J108" s="159">
        <v>1.1100000000000001</v>
      </c>
      <c r="K108" s="159">
        <v>0.87</v>
      </c>
      <c r="L108" s="159">
        <v>1.1299999999999999</v>
      </c>
      <c r="M108" s="160">
        <f t="shared" si="4"/>
        <v>1.855</v>
      </c>
      <c r="N108" s="159">
        <v>3.12</v>
      </c>
      <c r="O108" s="160">
        <f t="shared" si="5"/>
        <v>8.4331264289999996</v>
      </c>
      <c r="P108" s="159">
        <v>0.65</v>
      </c>
      <c r="Q108" s="159">
        <v>3.36388</v>
      </c>
      <c r="R108" s="159">
        <v>1.06667</v>
      </c>
      <c r="S108" s="161">
        <v>2.7025700000000001</v>
      </c>
      <c r="T108" s="162" t="s">
        <v>191</v>
      </c>
      <c r="U108" s="162" t="s">
        <v>192</v>
      </c>
      <c r="V108" s="163" t="s">
        <v>193</v>
      </c>
    </row>
    <row r="109" spans="1:22">
      <c r="A109" s="158" t="s">
        <v>55</v>
      </c>
      <c r="B109" s="159">
        <v>23</v>
      </c>
      <c r="C109" s="159">
        <v>9</v>
      </c>
      <c r="D109" s="159">
        <v>4.8</v>
      </c>
      <c r="E109" s="159">
        <v>1.31</v>
      </c>
      <c r="F109" s="159">
        <v>5</v>
      </c>
      <c r="G109" s="159">
        <v>5</v>
      </c>
      <c r="H109" s="160">
        <f t="shared" si="3"/>
        <v>5</v>
      </c>
      <c r="I109" s="159">
        <v>0.95</v>
      </c>
      <c r="J109" s="159">
        <v>0.99</v>
      </c>
      <c r="K109" s="159">
        <v>0.93</v>
      </c>
      <c r="L109" s="159">
        <v>0.8</v>
      </c>
      <c r="M109" s="160">
        <f t="shared" si="4"/>
        <v>1.835</v>
      </c>
      <c r="N109" s="159">
        <v>3.49</v>
      </c>
      <c r="O109" s="160">
        <f t="shared" si="5"/>
        <v>9.2308937788750001</v>
      </c>
      <c r="P109" s="159">
        <v>0.72707999999999995</v>
      </c>
      <c r="Q109" s="159">
        <v>3.8038099999999999</v>
      </c>
      <c r="R109" s="159">
        <v>0.96</v>
      </c>
      <c r="S109" s="161">
        <v>2.6446100000000001</v>
      </c>
      <c r="T109" s="162" t="s">
        <v>191</v>
      </c>
      <c r="U109" s="162" t="s">
        <v>192</v>
      </c>
      <c r="V109" s="163" t="s">
        <v>193</v>
      </c>
    </row>
    <row r="110" spans="1:22">
      <c r="A110" s="158" t="s">
        <v>55</v>
      </c>
      <c r="B110" s="159">
        <v>25</v>
      </c>
      <c r="C110" s="159">
        <v>9</v>
      </c>
      <c r="D110" s="159">
        <v>4.0999999999999996</v>
      </c>
      <c r="E110" s="159">
        <v>1.25</v>
      </c>
      <c r="F110" s="159">
        <v>5</v>
      </c>
      <c r="G110" s="159">
        <v>5</v>
      </c>
      <c r="H110" s="160">
        <f t="shared" si="3"/>
        <v>5</v>
      </c>
      <c r="I110" s="159">
        <v>0.73</v>
      </c>
      <c r="J110" s="159">
        <v>1.0900000000000001</v>
      </c>
      <c r="K110" s="159">
        <v>0.96</v>
      </c>
      <c r="L110" s="159">
        <v>0.78</v>
      </c>
      <c r="M110" s="160">
        <f t="shared" si="4"/>
        <v>1.7800000000000002</v>
      </c>
      <c r="N110" s="159">
        <v>2.85</v>
      </c>
      <c r="O110" s="160">
        <f t="shared" si="5"/>
        <v>7.0930178700000015</v>
      </c>
      <c r="P110" s="159">
        <v>0.69511999999999996</v>
      </c>
      <c r="Q110" s="159">
        <v>3.2022499999999998</v>
      </c>
      <c r="R110" s="159">
        <v>0.82</v>
      </c>
      <c r="S110" s="161">
        <v>2.4884599999999999</v>
      </c>
      <c r="T110" s="162" t="s">
        <v>191</v>
      </c>
      <c r="U110" s="162" t="s">
        <v>192</v>
      </c>
      <c r="V110" s="163" t="s">
        <v>193</v>
      </c>
    </row>
    <row r="111" spans="1:22">
      <c r="A111" s="158" t="s">
        <v>55</v>
      </c>
      <c r="B111" s="159">
        <v>27</v>
      </c>
      <c r="C111" s="159">
        <v>9</v>
      </c>
      <c r="D111" s="159">
        <v>5.0999999999999996</v>
      </c>
      <c r="E111" s="159">
        <v>1.64</v>
      </c>
      <c r="F111" s="159">
        <v>3.5</v>
      </c>
      <c r="G111" s="159">
        <v>3.5</v>
      </c>
      <c r="H111" s="160">
        <f t="shared" si="3"/>
        <v>3.5</v>
      </c>
      <c r="I111" s="159">
        <v>0.51</v>
      </c>
      <c r="J111" s="159">
        <v>0.45</v>
      </c>
      <c r="K111" s="159">
        <v>0.79</v>
      </c>
      <c r="L111" s="159">
        <v>0.78</v>
      </c>
      <c r="M111" s="160">
        <f t="shared" si="4"/>
        <v>1.2650000000000001</v>
      </c>
      <c r="N111" s="159">
        <v>3.46</v>
      </c>
      <c r="O111" s="160">
        <f t="shared" si="5"/>
        <v>4.3491395117499998</v>
      </c>
      <c r="P111" s="159">
        <v>0.67842999999999998</v>
      </c>
      <c r="Q111" s="159">
        <v>5.4703600000000003</v>
      </c>
      <c r="R111" s="159">
        <v>1.4571400000000001</v>
      </c>
      <c r="S111" s="161">
        <v>1.25681</v>
      </c>
      <c r="T111" s="162" t="s">
        <v>191</v>
      </c>
      <c r="U111" s="162" t="s">
        <v>192</v>
      </c>
      <c r="V111" s="163" t="s">
        <v>193</v>
      </c>
    </row>
    <row r="112" spans="1:22">
      <c r="A112" s="158" t="s">
        <v>55</v>
      </c>
      <c r="B112" s="159">
        <v>29</v>
      </c>
      <c r="C112" s="159">
        <v>9</v>
      </c>
      <c r="D112" s="159">
        <v>4.3</v>
      </c>
      <c r="E112" s="159">
        <v>1.51</v>
      </c>
      <c r="F112" s="159">
        <v>3.5</v>
      </c>
      <c r="G112" s="159">
        <v>3.5</v>
      </c>
      <c r="H112" s="160">
        <f t="shared" si="3"/>
        <v>3.5</v>
      </c>
      <c r="I112" s="159">
        <v>0.19</v>
      </c>
      <c r="J112" s="159">
        <v>0.6</v>
      </c>
      <c r="K112" s="159">
        <v>0.92</v>
      </c>
      <c r="L112" s="159">
        <v>0.71</v>
      </c>
      <c r="M112" s="160">
        <f t="shared" si="4"/>
        <v>1.21</v>
      </c>
      <c r="N112" s="159">
        <v>2.79</v>
      </c>
      <c r="O112" s="160">
        <f t="shared" si="5"/>
        <v>3.2086410345000003</v>
      </c>
      <c r="P112" s="159">
        <v>0.64883999999999997</v>
      </c>
      <c r="Q112" s="159">
        <v>4.6115700000000004</v>
      </c>
      <c r="R112" s="159">
        <v>1.2285699999999999</v>
      </c>
      <c r="S112" s="161">
        <v>1.1498999999999999</v>
      </c>
      <c r="T112" s="162" t="s">
        <v>191</v>
      </c>
      <c r="U112" s="162" t="s">
        <v>192</v>
      </c>
      <c r="V112" s="163" t="s">
        <v>193</v>
      </c>
    </row>
    <row r="113" spans="1:22">
      <c r="A113" s="158" t="s">
        <v>55</v>
      </c>
      <c r="B113" s="159">
        <v>31</v>
      </c>
      <c r="C113" s="159">
        <v>9</v>
      </c>
      <c r="D113" s="159">
        <v>5.3</v>
      </c>
      <c r="E113" s="159">
        <v>1.58</v>
      </c>
      <c r="F113" s="159">
        <v>4</v>
      </c>
      <c r="G113" s="164">
        <v>6</v>
      </c>
      <c r="H113" s="160">
        <f t="shared" si="3"/>
        <v>5</v>
      </c>
      <c r="I113" s="159">
        <v>0.14000000000000001</v>
      </c>
      <c r="J113" s="159">
        <v>0.49</v>
      </c>
      <c r="K113" s="159">
        <v>0.65</v>
      </c>
      <c r="L113" s="159">
        <v>0.88</v>
      </c>
      <c r="M113" s="160">
        <f t="shared" si="4"/>
        <v>1.08</v>
      </c>
      <c r="N113" s="159">
        <v>3.72</v>
      </c>
      <c r="O113" s="160">
        <f t="shared" si="5"/>
        <v>3.4082907840000001</v>
      </c>
      <c r="P113" s="159">
        <v>0.70189000000000001</v>
      </c>
      <c r="Q113" s="159">
        <v>6.88889</v>
      </c>
      <c r="R113" s="159">
        <v>1.325</v>
      </c>
      <c r="S113" s="161">
        <v>0.91608999999999996</v>
      </c>
      <c r="T113" s="162" t="s">
        <v>191</v>
      </c>
      <c r="U113" s="162" t="s">
        <v>192</v>
      </c>
      <c r="V113" s="163" t="s">
        <v>193</v>
      </c>
    </row>
    <row r="114" spans="1:22">
      <c r="A114" s="158" t="s">
        <v>55</v>
      </c>
      <c r="B114" s="159">
        <v>33</v>
      </c>
      <c r="C114" s="159">
        <v>9</v>
      </c>
      <c r="D114" s="159">
        <v>4.7</v>
      </c>
      <c r="E114" s="159">
        <v>1.32</v>
      </c>
      <c r="F114" s="159">
        <v>6</v>
      </c>
      <c r="G114" s="159">
        <v>6</v>
      </c>
      <c r="H114" s="160">
        <f t="shared" si="3"/>
        <v>6</v>
      </c>
      <c r="I114" s="159">
        <v>1.0900000000000001</v>
      </c>
      <c r="J114" s="159">
        <v>1.0900000000000001</v>
      </c>
      <c r="K114" s="159">
        <v>1.27</v>
      </c>
      <c r="L114" s="159">
        <v>1.08</v>
      </c>
      <c r="M114" s="160">
        <f t="shared" si="4"/>
        <v>2.2650000000000001</v>
      </c>
      <c r="N114" s="159">
        <v>3.38</v>
      </c>
      <c r="O114" s="160">
        <f t="shared" si="5"/>
        <v>13.62069607275</v>
      </c>
      <c r="P114" s="159">
        <v>0.71914999999999996</v>
      </c>
      <c r="Q114" s="159">
        <v>2.98455</v>
      </c>
      <c r="R114" s="159">
        <v>0.78332999999999997</v>
      </c>
      <c r="S114" s="161">
        <v>4.0292700000000004</v>
      </c>
      <c r="T114" s="162" t="s">
        <v>191</v>
      </c>
      <c r="U114" s="162" t="s">
        <v>192</v>
      </c>
      <c r="V114" s="163" t="s">
        <v>193</v>
      </c>
    </row>
    <row r="115" spans="1:22">
      <c r="A115" s="158" t="s">
        <v>55</v>
      </c>
      <c r="B115" s="159">
        <v>35</v>
      </c>
      <c r="C115" s="159">
        <v>9</v>
      </c>
      <c r="D115" s="159">
        <v>4.2</v>
      </c>
      <c r="E115" s="159">
        <v>1.1599999999999999</v>
      </c>
      <c r="F115" s="159">
        <v>4.5</v>
      </c>
      <c r="G115" s="159">
        <v>4.5</v>
      </c>
      <c r="H115" s="160">
        <f t="shared" si="3"/>
        <v>4.5</v>
      </c>
      <c r="I115" s="159">
        <v>0.28000000000000003</v>
      </c>
      <c r="J115" s="159">
        <v>0.79</v>
      </c>
      <c r="K115" s="159">
        <v>0.65</v>
      </c>
      <c r="L115" s="159">
        <v>0.56000000000000005</v>
      </c>
      <c r="M115" s="160">
        <f t="shared" si="4"/>
        <v>1.1400000000000001</v>
      </c>
      <c r="N115" s="159">
        <v>3.04</v>
      </c>
      <c r="O115" s="160">
        <f t="shared" si="5"/>
        <v>3.1033408320000007</v>
      </c>
      <c r="P115" s="159">
        <v>0.72380999999999995</v>
      </c>
      <c r="Q115" s="159">
        <v>5.3333300000000001</v>
      </c>
      <c r="R115" s="159">
        <v>0.93332999999999999</v>
      </c>
      <c r="S115" s="161">
        <v>1.0206999999999999</v>
      </c>
      <c r="T115" s="162" t="s">
        <v>191</v>
      </c>
      <c r="U115" s="162" t="s">
        <v>192</v>
      </c>
      <c r="V115" s="163" t="s">
        <v>193</v>
      </c>
    </row>
    <row r="116" spans="1:22">
      <c r="A116" s="158" t="s">
        <v>55</v>
      </c>
      <c r="B116" s="159">
        <v>37</v>
      </c>
      <c r="C116" s="159">
        <v>9</v>
      </c>
      <c r="D116" s="159">
        <v>4.9000000000000004</v>
      </c>
      <c r="E116" s="159">
        <v>1.71</v>
      </c>
      <c r="F116" s="159">
        <v>5</v>
      </c>
      <c r="G116" s="159">
        <v>5</v>
      </c>
      <c r="H116" s="160">
        <f t="shared" si="3"/>
        <v>5</v>
      </c>
      <c r="I116" s="159">
        <v>0.8</v>
      </c>
      <c r="J116" s="159">
        <v>0.82</v>
      </c>
      <c r="K116" s="159">
        <v>1.1499999999999999</v>
      </c>
      <c r="L116" s="159">
        <v>1.47</v>
      </c>
      <c r="M116" s="160">
        <f t="shared" si="4"/>
        <v>2.12</v>
      </c>
      <c r="N116" s="159">
        <v>3.19</v>
      </c>
      <c r="O116" s="160">
        <f t="shared" si="5"/>
        <v>11.261820328000002</v>
      </c>
      <c r="P116" s="159">
        <v>0.65102000000000004</v>
      </c>
      <c r="Q116" s="159">
        <v>3.00943</v>
      </c>
      <c r="R116" s="159">
        <v>0.98</v>
      </c>
      <c r="S116" s="161">
        <v>3.52989</v>
      </c>
      <c r="T116" s="162" t="s">
        <v>191</v>
      </c>
      <c r="U116" s="162" t="s">
        <v>192</v>
      </c>
      <c r="V116" s="163" t="s">
        <v>193</v>
      </c>
    </row>
    <row r="117" spans="1:22">
      <c r="A117" s="158" t="s">
        <v>55</v>
      </c>
      <c r="B117" s="159">
        <v>39</v>
      </c>
      <c r="C117" s="159">
        <v>9</v>
      </c>
      <c r="D117" s="159">
        <v>4.7</v>
      </c>
      <c r="E117" s="159">
        <v>1.73</v>
      </c>
      <c r="F117" s="159">
        <v>6</v>
      </c>
      <c r="G117" s="159">
        <v>6</v>
      </c>
      <c r="H117" s="160">
        <f t="shared" si="3"/>
        <v>6</v>
      </c>
      <c r="I117" s="159">
        <v>0.98</v>
      </c>
      <c r="J117" s="159">
        <v>1.04</v>
      </c>
      <c r="K117" s="159">
        <v>1.0900000000000001</v>
      </c>
      <c r="L117" s="159">
        <v>1.1299999999999999</v>
      </c>
      <c r="M117" s="160">
        <f t="shared" si="4"/>
        <v>2.12</v>
      </c>
      <c r="N117" s="159">
        <v>2.97</v>
      </c>
      <c r="O117" s="160">
        <f t="shared" si="5"/>
        <v>10.485143064000003</v>
      </c>
      <c r="P117" s="159">
        <v>0.63190999999999997</v>
      </c>
      <c r="Q117" s="159">
        <v>2.8018900000000002</v>
      </c>
      <c r="R117" s="159">
        <v>0.78332999999999997</v>
      </c>
      <c r="S117" s="161">
        <v>3.52989</v>
      </c>
      <c r="T117" s="162" t="s">
        <v>191</v>
      </c>
      <c r="U117" s="162" t="s">
        <v>192</v>
      </c>
      <c r="V117" s="163" t="s">
        <v>193</v>
      </c>
    </row>
    <row r="118" spans="1:22">
      <c r="A118" s="158" t="s">
        <v>55</v>
      </c>
      <c r="B118" s="159">
        <v>41</v>
      </c>
      <c r="C118" s="159">
        <v>13</v>
      </c>
      <c r="D118" s="159">
        <v>4.9000000000000004</v>
      </c>
      <c r="E118" s="159">
        <v>2.9</v>
      </c>
      <c r="F118" s="159">
        <v>5.5</v>
      </c>
      <c r="G118" s="159">
        <v>5.5</v>
      </c>
      <c r="H118" s="160">
        <f t="shared" si="3"/>
        <v>5.5</v>
      </c>
      <c r="I118" s="159">
        <v>0.64</v>
      </c>
      <c r="J118" s="159">
        <v>1.29</v>
      </c>
      <c r="K118" s="159">
        <v>1.37</v>
      </c>
      <c r="L118" s="159">
        <v>1.36</v>
      </c>
      <c r="M118" s="160">
        <f t="shared" si="4"/>
        <v>2.33</v>
      </c>
      <c r="N118" s="159">
        <v>2</v>
      </c>
      <c r="O118" s="160">
        <f t="shared" si="5"/>
        <v>8.5288019000000013</v>
      </c>
      <c r="P118" s="159">
        <v>0.40816000000000002</v>
      </c>
      <c r="Q118" s="159">
        <v>1.7167399999999999</v>
      </c>
      <c r="R118" s="159">
        <v>0.89090999999999998</v>
      </c>
      <c r="S118" s="161">
        <v>4.2638499999999997</v>
      </c>
      <c r="T118" s="162" t="s">
        <v>191</v>
      </c>
      <c r="U118" s="162" t="s">
        <v>192</v>
      </c>
      <c r="V118" s="163" t="s">
        <v>196</v>
      </c>
    </row>
    <row r="119" spans="1:22">
      <c r="A119" s="158" t="s">
        <v>55</v>
      </c>
      <c r="B119" s="159">
        <v>43</v>
      </c>
      <c r="C119" s="159">
        <v>13</v>
      </c>
      <c r="D119" s="159">
        <v>5.8</v>
      </c>
      <c r="E119" s="159">
        <v>3</v>
      </c>
      <c r="F119" s="159">
        <v>5.5</v>
      </c>
      <c r="G119" s="159">
        <v>5.5</v>
      </c>
      <c r="H119" s="160">
        <f t="shared" si="3"/>
        <v>5.5</v>
      </c>
      <c r="I119" s="159">
        <v>0.48</v>
      </c>
      <c r="J119" s="159">
        <v>0.76</v>
      </c>
      <c r="K119" s="159">
        <v>0.63</v>
      </c>
      <c r="L119" s="159">
        <v>1.24</v>
      </c>
      <c r="M119" s="160">
        <f t="shared" si="4"/>
        <v>1.5550000000000002</v>
      </c>
      <c r="N119" s="159">
        <v>2.8</v>
      </c>
      <c r="O119" s="160">
        <f t="shared" si="5"/>
        <v>5.3182041850000008</v>
      </c>
      <c r="P119" s="159">
        <v>0.48276000000000002</v>
      </c>
      <c r="Q119" s="159">
        <v>3.6012900000000001</v>
      </c>
      <c r="R119" s="159">
        <v>1.0545500000000001</v>
      </c>
      <c r="S119" s="161">
        <v>1.8991100000000001</v>
      </c>
      <c r="T119" s="162" t="s">
        <v>191</v>
      </c>
      <c r="U119" s="162" t="s">
        <v>192</v>
      </c>
      <c r="V119" s="163" t="s">
        <v>196</v>
      </c>
    </row>
    <row r="120" spans="1:22">
      <c r="A120" s="158" t="s">
        <v>55</v>
      </c>
      <c r="B120" s="159">
        <v>45</v>
      </c>
      <c r="C120" s="159">
        <v>13</v>
      </c>
      <c r="D120" s="159">
        <v>5.5</v>
      </c>
      <c r="E120" s="159">
        <v>2.5</v>
      </c>
      <c r="F120" s="159">
        <v>6</v>
      </c>
      <c r="G120" s="159">
        <v>6.5</v>
      </c>
      <c r="H120" s="160">
        <f t="shared" si="3"/>
        <v>6.25</v>
      </c>
      <c r="I120" s="159">
        <v>0.47</v>
      </c>
      <c r="J120" s="159">
        <v>1.36</v>
      </c>
      <c r="K120" s="159">
        <v>1.28</v>
      </c>
      <c r="L120" s="159">
        <v>1.04</v>
      </c>
      <c r="M120" s="160">
        <f t="shared" si="4"/>
        <v>2.0750000000000002</v>
      </c>
      <c r="N120" s="159">
        <v>2.6</v>
      </c>
      <c r="O120" s="160">
        <f t="shared" si="5"/>
        <v>8.7933779375000025</v>
      </c>
      <c r="P120" s="159">
        <v>0.47272999999999998</v>
      </c>
      <c r="Q120" s="159">
        <v>2.5060199999999999</v>
      </c>
      <c r="R120" s="159">
        <v>0.88</v>
      </c>
      <c r="S120" s="161">
        <v>3.3816299999999999</v>
      </c>
      <c r="T120" s="162" t="s">
        <v>191</v>
      </c>
      <c r="U120" s="162" t="s">
        <v>192</v>
      </c>
      <c r="V120" s="163" t="s">
        <v>196</v>
      </c>
    </row>
    <row r="121" spans="1:22">
      <c r="A121" s="159" t="s">
        <v>55</v>
      </c>
      <c r="B121" s="159">
        <v>47</v>
      </c>
      <c r="C121" s="159">
        <v>13</v>
      </c>
      <c r="D121" s="159">
        <v>5.7</v>
      </c>
      <c r="E121" s="159">
        <v>2.6</v>
      </c>
      <c r="F121" s="159">
        <v>4</v>
      </c>
      <c r="G121" s="159">
        <v>4</v>
      </c>
      <c r="H121" s="160">
        <f t="shared" si="3"/>
        <v>4</v>
      </c>
      <c r="I121" s="159">
        <v>0.03</v>
      </c>
      <c r="J121" s="159">
        <v>0.74</v>
      </c>
      <c r="K121" s="159">
        <v>0.92</v>
      </c>
      <c r="L121" s="159">
        <v>1.01</v>
      </c>
      <c r="M121" s="160">
        <f t="shared" si="4"/>
        <v>1.35</v>
      </c>
      <c r="N121" s="159">
        <v>3.1</v>
      </c>
      <c r="O121" s="160">
        <f t="shared" si="5"/>
        <v>4.4378786250000006</v>
      </c>
      <c r="P121" s="159">
        <v>0.54386000000000001</v>
      </c>
      <c r="Q121" s="159">
        <v>4.5925900000000004</v>
      </c>
      <c r="R121" s="159">
        <v>1.425</v>
      </c>
      <c r="S121" s="161">
        <v>1.4313899999999999</v>
      </c>
      <c r="T121" s="162" t="s">
        <v>191</v>
      </c>
      <c r="U121" s="162" t="s">
        <v>192</v>
      </c>
      <c r="V121" s="163" t="s">
        <v>196</v>
      </c>
    </row>
    <row r="122" spans="1:22">
      <c r="A122" s="159" t="s">
        <v>55</v>
      </c>
      <c r="B122" s="159">
        <v>49</v>
      </c>
      <c r="C122" s="159">
        <v>13</v>
      </c>
      <c r="D122" s="159">
        <v>6.6</v>
      </c>
      <c r="E122" s="159">
        <v>3.1</v>
      </c>
      <c r="F122" s="159">
        <v>5</v>
      </c>
      <c r="G122" s="159">
        <v>5</v>
      </c>
      <c r="H122" s="160">
        <f t="shared" si="3"/>
        <v>5</v>
      </c>
      <c r="I122" s="159">
        <v>0</v>
      </c>
      <c r="J122" s="159">
        <v>0.74</v>
      </c>
      <c r="K122" s="159">
        <v>1.42</v>
      </c>
      <c r="L122" s="159">
        <v>0.79</v>
      </c>
      <c r="M122" s="160">
        <f t="shared" si="4"/>
        <v>1.4750000000000001</v>
      </c>
      <c r="N122" s="159">
        <v>3.5</v>
      </c>
      <c r="O122" s="160">
        <f t="shared" si="5"/>
        <v>5.9813370312499998</v>
      </c>
      <c r="P122" s="159">
        <v>0.53029999999999999</v>
      </c>
      <c r="Q122" s="159">
        <v>4.7457599999999998</v>
      </c>
      <c r="R122" s="159">
        <v>1.32</v>
      </c>
      <c r="S122" s="161">
        <v>1.7087300000000001</v>
      </c>
      <c r="T122" s="162" t="s">
        <v>191</v>
      </c>
      <c r="U122" s="162" t="s">
        <v>192</v>
      </c>
      <c r="V122" s="163" t="s">
        <v>196</v>
      </c>
    </row>
    <row r="123" spans="1:22">
      <c r="A123" s="159" t="s">
        <v>55</v>
      </c>
      <c r="B123" s="159">
        <v>51</v>
      </c>
      <c r="C123" s="159">
        <v>13</v>
      </c>
      <c r="D123" s="159">
        <v>6.3</v>
      </c>
      <c r="E123" s="159">
        <v>3</v>
      </c>
      <c r="F123" s="159">
        <v>6</v>
      </c>
      <c r="G123" s="159">
        <v>6.5</v>
      </c>
      <c r="H123" s="160">
        <f t="shared" si="3"/>
        <v>6.25</v>
      </c>
      <c r="I123" s="159">
        <v>0.39</v>
      </c>
      <c r="J123" s="159">
        <v>0.85</v>
      </c>
      <c r="K123" s="159">
        <v>1.08</v>
      </c>
      <c r="L123" s="159">
        <v>0.51</v>
      </c>
      <c r="M123" s="160">
        <f t="shared" si="4"/>
        <v>1.415</v>
      </c>
      <c r="N123" s="159">
        <v>3.3</v>
      </c>
      <c r="O123" s="160">
        <f t="shared" si="5"/>
        <v>5.1900675337499997</v>
      </c>
      <c r="P123" s="159">
        <v>0.52381</v>
      </c>
      <c r="Q123" s="159">
        <v>4.6643100000000004</v>
      </c>
      <c r="R123" s="159">
        <v>1.008</v>
      </c>
      <c r="S123" s="161">
        <v>1.57254</v>
      </c>
      <c r="T123" s="162" t="s">
        <v>191</v>
      </c>
      <c r="U123" s="162" t="s">
        <v>192</v>
      </c>
      <c r="V123" s="163" t="s">
        <v>196</v>
      </c>
    </row>
    <row r="124" spans="1:22">
      <c r="A124" s="158" t="s">
        <v>55</v>
      </c>
      <c r="B124" s="159">
        <v>55</v>
      </c>
      <c r="C124" s="159">
        <v>13</v>
      </c>
      <c r="D124" s="159">
        <v>4.9000000000000004</v>
      </c>
      <c r="E124" s="159">
        <v>2.6</v>
      </c>
      <c r="F124" s="159">
        <v>6.5</v>
      </c>
      <c r="G124" s="159">
        <v>7</v>
      </c>
      <c r="H124" s="160">
        <f t="shared" si="3"/>
        <v>6.75</v>
      </c>
      <c r="I124" s="159">
        <v>0.23</v>
      </c>
      <c r="J124" s="159">
        <v>0.85</v>
      </c>
      <c r="K124" s="159">
        <v>1.27</v>
      </c>
      <c r="L124" s="159">
        <v>1.53</v>
      </c>
      <c r="M124" s="160">
        <f t="shared" si="4"/>
        <v>1.94</v>
      </c>
      <c r="N124" s="159">
        <v>2.2999999999999998</v>
      </c>
      <c r="O124" s="160">
        <f t="shared" si="5"/>
        <v>6.7995079399999989</v>
      </c>
      <c r="P124" s="159">
        <v>0.46938999999999997</v>
      </c>
      <c r="Q124" s="159">
        <v>2.37113</v>
      </c>
      <c r="R124" s="159">
        <v>0.72592999999999996</v>
      </c>
      <c r="S124" s="161">
        <v>2.9559199999999999</v>
      </c>
      <c r="T124" s="162" t="s">
        <v>191</v>
      </c>
      <c r="U124" s="162" t="s">
        <v>192</v>
      </c>
      <c r="V124" s="163" t="s">
        <v>196</v>
      </c>
    </row>
    <row r="125" spans="1:22">
      <c r="A125" s="158" t="s">
        <v>55</v>
      </c>
      <c r="B125" s="159">
        <v>57</v>
      </c>
      <c r="C125" s="159">
        <v>13</v>
      </c>
      <c r="D125" s="159">
        <v>6.3</v>
      </c>
      <c r="E125" s="159">
        <v>2.7</v>
      </c>
      <c r="F125" s="159">
        <v>6.5</v>
      </c>
      <c r="G125" s="159">
        <v>7</v>
      </c>
      <c r="H125" s="160">
        <f t="shared" si="3"/>
        <v>6.75</v>
      </c>
      <c r="I125" s="159">
        <v>0.47</v>
      </c>
      <c r="J125" s="159">
        <v>1.1599999999999999</v>
      </c>
      <c r="K125" s="159">
        <v>1.21</v>
      </c>
      <c r="L125" s="159">
        <v>1.21</v>
      </c>
      <c r="M125" s="160">
        <f t="shared" si="4"/>
        <v>2.0249999999999999</v>
      </c>
      <c r="N125" s="159">
        <v>3.6</v>
      </c>
      <c r="O125" s="160">
        <f t="shared" si="5"/>
        <v>11.595747375</v>
      </c>
      <c r="P125" s="159">
        <v>0.57142999999999999</v>
      </c>
      <c r="Q125" s="159">
        <v>3.5555599999999998</v>
      </c>
      <c r="R125" s="159">
        <v>0.93332999999999999</v>
      </c>
      <c r="S125" s="161">
        <v>3.2206199999999998</v>
      </c>
      <c r="T125" s="162" t="s">
        <v>191</v>
      </c>
      <c r="U125" s="162" t="s">
        <v>192</v>
      </c>
      <c r="V125" s="163" t="s">
        <v>196</v>
      </c>
    </row>
    <row r="126" spans="1:22">
      <c r="A126" s="158" t="s">
        <v>55</v>
      </c>
      <c r="B126" s="159">
        <v>59</v>
      </c>
      <c r="C126" s="159">
        <v>13</v>
      </c>
      <c r="D126" s="159">
        <v>4.5999999999999996</v>
      </c>
      <c r="E126" s="159">
        <v>2.6</v>
      </c>
      <c r="F126" s="159">
        <v>5</v>
      </c>
      <c r="G126" s="159">
        <v>5</v>
      </c>
      <c r="H126" s="160">
        <f t="shared" si="3"/>
        <v>5</v>
      </c>
      <c r="I126" s="159">
        <v>0.46</v>
      </c>
      <c r="J126" s="159">
        <v>0.51</v>
      </c>
      <c r="K126" s="159">
        <v>0.5</v>
      </c>
      <c r="L126" s="159">
        <v>0.63</v>
      </c>
      <c r="M126" s="160">
        <f t="shared" si="4"/>
        <v>1.05</v>
      </c>
      <c r="N126" s="159">
        <v>2</v>
      </c>
      <c r="O126" s="160">
        <f t="shared" si="5"/>
        <v>1.7320275000000001</v>
      </c>
      <c r="P126" s="159">
        <v>0.43478</v>
      </c>
      <c r="Q126" s="159">
        <v>3.80952</v>
      </c>
      <c r="R126" s="159">
        <v>0.92</v>
      </c>
      <c r="S126" s="161">
        <v>0.8659</v>
      </c>
      <c r="T126" s="162" t="s">
        <v>191</v>
      </c>
      <c r="U126" s="162" t="s">
        <v>192</v>
      </c>
      <c r="V126" s="163" t="s">
        <v>196</v>
      </c>
    </row>
    <row r="127" spans="1:22">
      <c r="A127" s="158" t="s">
        <v>55</v>
      </c>
      <c r="B127" s="159">
        <v>53</v>
      </c>
      <c r="C127" s="159">
        <v>13</v>
      </c>
      <c r="D127" s="159">
        <v>4.4000000000000004</v>
      </c>
      <c r="E127" s="159">
        <v>2.8</v>
      </c>
      <c r="F127" s="159">
        <v>6.5</v>
      </c>
      <c r="G127" s="159">
        <v>6.5</v>
      </c>
      <c r="H127" s="160">
        <f t="shared" si="3"/>
        <v>6.5</v>
      </c>
      <c r="I127" s="159">
        <v>0.27</v>
      </c>
      <c r="J127" s="159">
        <v>1.26</v>
      </c>
      <c r="K127" s="159">
        <v>0.91</v>
      </c>
      <c r="L127" s="159">
        <v>1.32</v>
      </c>
      <c r="M127" s="160">
        <f t="shared" si="4"/>
        <v>1.88</v>
      </c>
      <c r="N127" s="159">
        <v>1.6</v>
      </c>
      <c r="O127" s="160">
        <f t="shared" si="5"/>
        <v>4.4420339199999992</v>
      </c>
      <c r="P127" s="159">
        <v>0.36364000000000002</v>
      </c>
      <c r="Q127" s="159">
        <v>1.7021299999999999</v>
      </c>
      <c r="R127" s="159">
        <v>0.67691999999999997</v>
      </c>
      <c r="S127" s="161">
        <v>2.7759100000000001</v>
      </c>
      <c r="T127" s="162" t="s">
        <v>191</v>
      </c>
      <c r="U127" s="162" t="s">
        <v>192</v>
      </c>
      <c r="V127" s="163" t="s">
        <v>196</v>
      </c>
    </row>
    <row r="128" spans="1:22">
      <c r="A128" s="158" t="s">
        <v>55</v>
      </c>
      <c r="B128" s="159">
        <v>101</v>
      </c>
      <c r="C128" s="159">
        <v>24</v>
      </c>
      <c r="D128" s="159">
        <v>12.8</v>
      </c>
      <c r="E128" s="159">
        <v>6</v>
      </c>
      <c r="F128" s="159">
        <v>14</v>
      </c>
      <c r="G128" s="159">
        <v>13.5</v>
      </c>
      <c r="H128" s="160">
        <f t="shared" si="3"/>
        <v>13.75</v>
      </c>
      <c r="I128" s="159">
        <v>0.78</v>
      </c>
      <c r="J128" s="159">
        <v>1.28</v>
      </c>
      <c r="K128" s="159">
        <v>0.84</v>
      </c>
      <c r="L128" s="159">
        <v>2.1800000000000002</v>
      </c>
      <c r="M128" s="160">
        <f t="shared" si="4"/>
        <v>2.54</v>
      </c>
      <c r="N128" s="159">
        <v>6.8</v>
      </c>
      <c r="O128" s="160">
        <f t="shared" si="5"/>
        <v>34.460576239999995</v>
      </c>
      <c r="P128" s="159">
        <v>0.53125</v>
      </c>
      <c r="Q128" s="159">
        <v>5.35433</v>
      </c>
      <c r="R128" s="159">
        <v>0.93091000000000002</v>
      </c>
      <c r="S128" s="161">
        <v>5.0670700000000002</v>
      </c>
      <c r="T128" s="162" t="s">
        <v>191</v>
      </c>
      <c r="U128" s="162" t="s">
        <v>192</v>
      </c>
      <c r="V128" s="163" t="s">
        <v>197</v>
      </c>
    </row>
    <row r="129" spans="1:22">
      <c r="A129" s="158" t="s">
        <v>55</v>
      </c>
      <c r="B129" s="159">
        <v>103</v>
      </c>
      <c r="C129" s="159">
        <v>24</v>
      </c>
      <c r="D129" s="159">
        <v>12</v>
      </c>
      <c r="E129" s="159">
        <v>7.2</v>
      </c>
      <c r="F129" s="159">
        <v>12.5</v>
      </c>
      <c r="G129" s="159">
        <v>12.5</v>
      </c>
      <c r="H129" s="160">
        <f t="shared" si="3"/>
        <v>12.5</v>
      </c>
      <c r="I129" s="159">
        <v>0.82</v>
      </c>
      <c r="J129" s="159">
        <v>1.1299999999999999</v>
      </c>
      <c r="K129" s="159">
        <v>1.85</v>
      </c>
      <c r="L129" s="159">
        <v>1.17</v>
      </c>
      <c r="M129" s="160">
        <f t="shared" si="4"/>
        <v>2.4849999999999999</v>
      </c>
      <c r="N129" s="159">
        <v>4.8</v>
      </c>
      <c r="O129" s="160">
        <f t="shared" si="5"/>
        <v>23.283068339999996</v>
      </c>
      <c r="P129" s="159">
        <v>0.4</v>
      </c>
      <c r="Q129" s="159">
        <v>3.8631799999999998</v>
      </c>
      <c r="R129" s="159">
        <v>0.96</v>
      </c>
      <c r="S129" s="161">
        <v>4.8500100000000002</v>
      </c>
      <c r="T129" s="162" t="s">
        <v>191</v>
      </c>
      <c r="U129" s="162" t="s">
        <v>192</v>
      </c>
      <c r="V129" s="163" t="s">
        <v>197</v>
      </c>
    </row>
    <row r="130" spans="1:22">
      <c r="A130" s="158" t="s">
        <v>55</v>
      </c>
      <c r="B130" s="159">
        <v>105</v>
      </c>
      <c r="C130" s="159">
        <v>24</v>
      </c>
      <c r="D130" s="159">
        <v>12.8</v>
      </c>
      <c r="E130" s="159">
        <v>7.4</v>
      </c>
      <c r="F130" s="159">
        <v>13.5</v>
      </c>
      <c r="G130" s="159">
        <v>13.5</v>
      </c>
      <c r="H130" s="160">
        <f t="shared" si="3"/>
        <v>13.5</v>
      </c>
      <c r="I130" s="159">
        <v>1.2</v>
      </c>
      <c r="J130" s="159">
        <v>1.22</v>
      </c>
      <c r="K130" s="159">
        <v>0.82</v>
      </c>
      <c r="L130" s="159">
        <v>1.06</v>
      </c>
      <c r="M130" s="160">
        <f t="shared" si="4"/>
        <v>2.15</v>
      </c>
      <c r="N130" s="159">
        <v>5.4</v>
      </c>
      <c r="O130" s="160">
        <f t="shared" si="5"/>
        <v>19.607258249999997</v>
      </c>
      <c r="P130" s="159">
        <v>0.42187999999999998</v>
      </c>
      <c r="Q130" s="159">
        <v>5.0232599999999996</v>
      </c>
      <c r="R130" s="159">
        <v>0.94815000000000005</v>
      </c>
      <c r="S130" s="161">
        <v>3.6305000000000001</v>
      </c>
      <c r="T130" s="162" t="s">
        <v>191</v>
      </c>
      <c r="U130" s="162" t="s">
        <v>192</v>
      </c>
      <c r="V130" s="163" t="s">
        <v>197</v>
      </c>
    </row>
    <row r="131" spans="1:22">
      <c r="A131" s="158" t="s">
        <v>55</v>
      </c>
      <c r="B131" s="159">
        <v>107</v>
      </c>
      <c r="C131" s="159">
        <v>24</v>
      </c>
      <c r="D131" s="159">
        <v>10.8</v>
      </c>
      <c r="E131" s="159">
        <v>7.4</v>
      </c>
      <c r="F131" s="159">
        <v>10</v>
      </c>
      <c r="G131" s="159">
        <v>10.5</v>
      </c>
      <c r="H131" s="160">
        <f t="shared" si="3"/>
        <v>10.25</v>
      </c>
      <c r="I131" s="159">
        <v>0</v>
      </c>
      <c r="J131" s="159">
        <v>0.3</v>
      </c>
      <c r="K131" s="159">
        <v>1.96</v>
      </c>
      <c r="L131" s="159">
        <v>1.42</v>
      </c>
      <c r="M131" s="160">
        <f t="shared" si="4"/>
        <v>1.8399999999999999</v>
      </c>
      <c r="N131" s="159">
        <v>3.4</v>
      </c>
      <c r="O131" s="160">
        <f t="shared" si="5"/>
        <v>9.0419219199999983</v>
      </c>
      <c r="P131" s="159">
        <v>0.31480999999999998</v>
      </c>
      <c r="Q131" s="159">
        <v>3.6956500000000001</v>
      </c>
      <c r="R131" s="159">
        <v>1.05366</v>
      </c>
      <c r="S131" s="161">
        <v>2.6590400000000001</v>
      </c>
      <c r="T131" s="162" t="s">
        <v>191</v>
      </c>
      <c r="U131" s="162" t="s">
        <v>192</v>
      </c>
      <c r="V131" s="163" t="s">
        <v>197</v>
      </c>
    </row>
    <row r="132" spans="1:22">
      <c r="A132" s="158" t="s">
        <v>55</v>
      </c>
      <c r="B132" s="159">
        <v>109</v>
      </c>
      <c r="C132" s="159">
        <v>24</v>
      </c>
      <c r="D132" s="159">
        <v>11.2</v>
      </c>
      <c r="E132" s="159">
        <v>7.9</v>
      </c>
      <c r="F132" s="159">
        <v>14</v>
      </c>
      <c r="G132" s="159">
        <v>13</v>
      </c>
      <c r="H132" s="160">
        <f t="shared" ref="H132:H195" si="6">(F132+G132)/2</f>
        <v>13.5</v>
      </c>
      <c r="I132" s="159">
        <v>1.64</v>
      </c>
      <c r="J132" s="159">
        <v>1.35</v>
      </c>
      <c r="K132" s="159">
        <v>0.74</v>
      </c>
      <c r="L132" s="159">
        <v>2.11</v>
      </c>
      <c r="M132" s="160">
        <f t="shared" ref="M132:M195" si="7">SUM(I132:L132)/2</f>
        <v>2.92</v>
      </c>
      <c r="N132" s="159">
        <v>3.3</v>
      </c>
      <c r="O132" s="160">
        <f t="shared" ref="O132:O195" si="8">3.142/4*M132^2*N132</f>
        <v>22.101707759999993</v>
      </c>
      <c r="P132" s="159">
        <v>0.29464000000000001</v>
      </c>
      <c r="Q132" s="159">
        <v>2.2602699999999998</v>
      </c>
      <c r="R132" s="159">
        <v>0.82962999999999998</v>
      </c>
      <c r="S132" s="161">
        <v>6.6966200000000002</v>
      </c>
      <c r="T132" s="162" t="s">
        <v>191</v>
      </c>
      <c r="U132" s="162" t="s">
        <v>192</v>
      </c>
      <c r="V132" s="163" t="s">
        <v>197</v>
      </c>
    </row>
    <row r="133" spans="1:22">
      <c r="A133" s="158" t="s">
        <v>55</v>
      </c>
      <c r="B133" s="159">
        <v>111</v>
      </c>
      <c r="C133" s="159">
        <v>24</v>
      </c>
      <c r="D133" s="159">
        <v>12</v>
      </c>
      <c r="E133" s="159">
        <v>5.2</v>
      </c>
      <c r="F133" s="159">
        <v>13</v>
      </c>
      <c r="G133" s="159">
        <v>14</v>
      </c>
      <c r="H133" s="160">
        <f t="shared" si="6"/>
        <v>13.5</v>
      </c>
      <c r="I133" s="159">
        <v>1.86</v>
      </c>
      <c r="J133" s="159">
        <v>1.98</v>
      </c>
      <c r="K133" s="159">
        <v>0.95</v>
      </c>
      <c r="L133" s="159">
        <v>1.1200000000000001</v>
      </c>
      <c r="M133" s="160">
        <f t="shared" si="7"/>
        <v>2.9550000000000001</v>
      </c>
      <c r="N133" s="159">
        <v>6.8</v>
      </c>
      <c r="O133" s="160">
        <f t="shared" si="8"/>
        <v>46.641238334999997</v>
      </c>
      <c r="P133" s="159">
        <v>0.56667000000000001</v>
      </c>
      <c r="Q133" s="159">
        <v>4.6023699999999996</v>
      </c>
      <c r="R133" s="159">
        <v>0.88888999999999996</v>
      </c>
      <c r="S133" s="161">
        <v>6.8581200000000004</v>
      </c>
      <c r="T133" s="162" t="s">
        <v>191</v>
      </c>
      <c r="U133" s="162" t="s">
        <v>192</v>
      </c>
      <c r="V133" s="163" t="s">
        <v>197</v>
      </c>
    </row>
    <row r="134" spans="1:22">
      <c r="A134" s="158" t="s">
        <v>55</v>
      </c>
      <c r="B134" s="159">
        <v>113</v>
      </c>
      <c r="C134" s="159">
        <v>24</v>
      </c>
      <c r="D134" s="159">
        <v>13.1</v>
      </c>
      <c r="E134" s="159">
        <v>7.4</v>
      </c>
      <c r="F134" s="159">
        <v>13.5</v>
      </c>
      <c r="G134" s="159">
        <v>13</v>
      </c>
      <c r="H134" s="160">
        <f t="shared" si="6"/>
        <v>13.25</v>
      </c>
      <c r="I134" s="159">
        <v>1.03</v>
      </c>
      <c r="J134" s="159">
        <v>2.08</v>
      </c>
      <c r="K134" s="159">
        <v>1.06</v>
      </c>
      <c r="L134" s="159">
        <v>2.17</v>
      </c>
      <c r="M134" s="160">
        <f t="shared" si="7"/>
        <v>3.17</v>
      </c>
      <c r="N134" s="159">
        <v>5.7</v>
      </c>
      <c r="O134" s="160">
        <f t="shared" si="8"/>
        <v>44.992442414999999</v>
      </c>
      <c r="P134" s="159">
        <v>0.43511</v>
      </c>
      <c r="Q134" s="159">
        <v>3.5962100000000001</v>
      </c>
      <c r="R134" s="159">
        <v>0.98868</v>
      </c>
      <c r="S134" s="161">
        <v>7.8923899999999998</v>
      </c>
      <c r="T134" s="162" t="s">
        <v>191</v>
      </c>
      <c r="U134" s="162" t="s">
        <v>192</v>
      </c>
      <c r="V134" s="163" t="s">
        <v>197</v>
      </c>
    </row>
    <row r="135" spans="1:22">
      <c r="A135" s="158" t="s">
        <v>55</v>
      </c>
      <c r="B135" s="159">
        <v>115</v>
      </c>
      <c r="C135" s="159">
        <v>24</v>
      </c>
      <c r="D135" s="159">
        <v>13.8</v>
      </c>
      <c r="E135" s="159">
        <v>8.1999999999999993</v>
      </c>
      <c r="F135" s="159">
        <v>16.5</v>
      </c>
      <c r="G135" s="159">
        <v>17</v>
      </c>
      <c r="H135" s="160">
        <f t="shared" si="6"/>
        <v>16.75</v>
      </c>
      <c r="I135" s="159">
        <v>0.95</v>
      </c>
      <c r="J135" s="159">
        <v>1.88</v>
      </c>
      <c r="K135" s="159">
        <v>1.5</v>
      </c>
      <c r="L135" s="159">
        <v>2.31</v>
      </c>
      <c r="M135" s="160">
        <f t="shared" si="7"/>
        <v>3.3200000000000003</v>
      </c>
      <c r="N135" s="159">
        <v>5.6</v>
      </c>
      <c r="O135" s="160">
        <f t="shared" si="8"/>
        <v>48.48533312</v>
      </c>
      <c r="P135" s="159">
        <v>0.40579999999999999</v>
      </c>
      <c r="Q135" s="159">
        <v>3.3734899999999999</v>
      </c>
      <c r="R135" s="159">
        <v>0.82387999999999995</v>
      </c>
      <c r="S135" s="161">
        <v>8.6569699999999994</v>
      </c>
      <c r="T135" s="162" t="s">
        <v>191</v>
      </c>
      <c r="U135" s="162" t="s">
        <v>192</v>
      </c>
      <c r="V135" s="163" t="s">
        <v>197</v>
      </c>
    </row>
    <row r="136" spans="1:22">
      <c r="A136" s="158" t="s">
        <v>55</v>
      </c>
      <c r="B136" s="159">
        <v>117</v>
      </c>
      <c r="C136" s="159">
        <v>24</v>
      </c>
      <c r="D136" s="159">
        <v>13.2</v>
      </c>
      <c r="E136" s="159">
        <v>7.8</v>
      </c>
      <c r="F136" s="159">
        <v>15.5</v>
      </c>
      <c r="G136" s="159">
        <v>15.5</v>
      </c>
      <c r="H136" s="160">
        <f t="shared" si="6"/>
        <v>15.5</v>
      </c>
      <c r="I136" s="159">
        <v>1.22</v>
      </c>
      <c r="J136" s="159">
        <v>1.76</v>
      </c>
      <c r="K136" s="159">
        <v>1.32</v>
      </c>
      <c r="L136" s="159">
        <v>2.27</v>
      </c>
      <c r="M136" s="160">
        <f t="shared" si="7"/>
        <v>3.2850000000000001</v>
      </c>
      <c r="N136" s="159">
        <v>5.4</v>
      </c>
      <c r="O136" s="160">
        <f t="shared" si="8"/>
        <v>45.773139082500002</v>
      </c>
      <c r="P136" s="159">
        <v>0.40909000000000001</v>
      </c>
      <c r="Q136" s="159">
        <v>3.2876699999999999</v>
      </c>
      <c r="R136" s="159">
        <v>0.85160999999999998</v>
      </c>
      <c r="S136" s="161">
        <v>8.4754100000000001</v>
      </c>
      <c r="T136" s="162" t="s">
        <v>191</v>
      </c>
      <c r="U136" s="162" t="s">
        <v>192</v>
      </c>
      <c r="V136" s="163" t="s">
        <v>197</v>
      </c>
    </row>
    <row r="137" spans="1:22">
      <c r="A137" s="158" t="s">
        <v>55</v>
      </c>
      <c r="B137" s="159">
        <v>119</v>
      </c>
      <c r="C137" s="159">
        <v>24</v>
      </c>
      <c r="D137" s="159">
        <v>13.1</v>
      </c>
      <c r="E137" s="159">
        <v>8</v>
      </c>
      <c r="F137" s="159">
        <v>14</v>
      </c>
      <c r="G137" s="159">
        <v>14.5</v>
      </c>
      <c r="H137" s="160">
        <f t="shared" si="6"/>
        <v>14.25</v>
      </c>
      <c r="I137" s="159">
        <v>1.1599999999999999</v>
      </c>
      <c r="J137" s="159">
        <v>1.57</v>
      </c>
      <c r="K137" s="159">
        <v>0.81</v>
      </c>
      <c r="L137" s="159">
        <v>1.61</v>
      </c>
      <c r="M137" s="160">
        <f t="shared" si="7"/>
        <v>2.5750000000000002</v>
      </c>
      <c r="N137" s="159">
        <v>5.0999999999999996</v>
      </c>
      <c r="O137" s="160">
        <f t="shared" si="8"/>
        <v>26.56261528125</v>
      </c>
      <c r="P137" s="159">
        <v>0.38930999999999999</v>
      </c>
      <c r="Q137" s="159">
        <v>3.9611700000000001</v>
      </c>
      <c r="R137" s="159">
        <v>0.91930000000000001</v>
      </c>
      <c r="S137" s="161">
        <v>5.2076799999999999</v>
      </c>
      <c r="T137" s="162" t="s">
        <v>191</v>
      </c>
      <c r="U137" s="162" t="s">
        <v>192</v>
      </c>
      <c r="V137" s="163" t="s">
        <v>197</v>
      </c>
    </row>
    <row r="138" spans="1:22">
      <c r="A138" s="158" t="s">
        <v>55</v>
      </c>
      <c r="B138" s="159">
        <v>1</v>
      </c>
      <c r="C138" s="159">
        <v>30</v>
      </c>
      <c r="D138" s="159">
        <v>12.1</v>
      </c>
      <c r="E138" s="159">
        <v>5.9</v>
      </c>
      <c r="F138" s="159">
        <v>11.5</v>
      </c>
      <c r="G138" s="159">
        <v>12</v>
      </c>
      <c r="H138" s="160">
        <f t="shared" si="6"/>
        <v>11.75</v>
      </c>
      <c r="I138" s="159">
        <v>2.6</v>
      </c>
      <c r="J138" s="159">
        <v>1.25</v>
      </c>
      <c r="K138" s="159">
        <v>0.97</v>
      </c>
      <c r="L138" s="159">
        <v>1.1399999999999999</v>
      </c>
      <c r="M138" s="160">
        <f t="shared" si="7"/>
        <v>2.98</v>
      </c>
      <c r="N138" s="159">
        <v>6.2</v>
      </c>
      <c r="O138" s="160">
        <f t="shared" si="8"/>
        <v>43.248436040000001</v>
      </c>
      <c r="P138" s="159">
        <v>0.51239999999999997</v>
      </c>
      <c r="Q138" s="159">
        <v>4.1610699999999996</v>
      </c>
      <c r="R138" s="159">
        <v>1.02979</v>
      </c>
      <c r="S138" s="161">
        <v>6.9746499999999996</v>
      </c>
      <c r="T138" s="162" t="s">
        <v>191</v>
      </c>
      <c r="U138" s="162" t="s">
        <v>192</v>
      </c>
      <c r="V138" s="163" t="s">
        <v>198</v>
      </c>
    </row>
    <row r="139" spans="1:22">
      <c r="A139" s="158" t="s">
        <v>55</v>
      </c>
      <c r="B139" s="159">
        <v>3</v>
      </c>
      <c r="C139" s="159">
        <v>30</v>
      </c>
      <c r="D139" s="159">
        <v>10.8</v>
      </c>
      <c r="E139" s="159">
        <v>7.1</v>
      </c>
      <c r="F139" s="159">
        <v>14.5</v>
      </c>
      <c r="G139" s="159">
        <v>13</v>
      </c>
      <c r="H139" s="160">
        <f t="shared" si="6"/>
        <v>13.75</v>
      </c>
      <c r="I139" s="159">
        <v>0.33</v>
      </c>
      <c r="J139" s="159">
        <v>1.53</v>
      </c>
      <c r="K139" s="159">
        <v>3.31</v>
      </c>
      <c r="L139" s="159">
        <v>1.01</v>
      </c>
      <c r="M139" s="160">
        <f t="shared" si="7"/>
        <v>3.09</v>
      </c>
      <c r="N139" s="159">
        <v>3.7</v>
      </c>
      <c r="O139" s="160">
        <f t="shared" si="8"/>
        <v>27.750120434999999</v>
      </c>
      <c r="P139" s="159">
        <v>0.34259000000000001</v>
      </c>
      <c r="Q139" s="159">
        <v>2.3948200000000002</v>
      </c>
      <c r="R139" s="159">
        <v>0.78544999999999998</v>
      </c>
      <c r="S139" s="161">
        <v>7.4990600000000001</v>
      </c>
      <c r="T139" s="162" t="s">
        <v>191</v>
      </c>
      <c r="U139" s="162" t="s">
        <v>192</v>
      </c>
      <c r="V139" s="163" t="s">
        <v>198</v>
      </c>
    </row>
    <row r="140" spans="1:22">
      <c r="A140" s="158" t="s">
        <v>55</v>
      </c>
      <c r="B140" s="159">
        <v>5</v>
      </c>
      <c r="C140" s="159">
        <v>30</v>
      </c>
      <c r="D140" s="159">
        <v>11.8</v>
      </c>
      <c r="E140" s="159">
        <v>6.1</v>
      </c>
      <c r="F140" s="159">
        <v>12</v>
      </c>
      <c r="G140" s="159">
        <v>12</v>
      </c>
      <c r="H140" s="160">
        <f t="shared" si="6"/>
        <v>12</v>
      </c>
      <c r="I140" s="159">
        <v>1.1200000000000001</v>
      </c>
      <c r="J140" s="159">
        <v>1.1599999999999999</v>
      </c>
      <c r="K140" s="159">
        <v>1.4</v>
      </c>
      <c r="L140" s="159">
        <v>1.73</v>
      </c>
      <c r="M140" s="160">
        <f t="shared" si="7"/>
        <v>2.7050000000000001</v>
      </c>
      <c r="N140" s="159">
        <v>5.7</v>
      </c>
      <c r="O140" s="160">
        <f t="shared" si="8"/>
        <v>32.760881883750002</v>
      </c>
      <c r="P140" s="159">
        <v>0.48304999999999998</v>
      </c>
      <c r="Q140" s="159">
        <v>4.2144199999999996</v>
      </c>
      <c r="R140" s="159">
        <v>0.98333000000000004</v>
      </c>
      <c r="S140" s="161">
        <v>5.7467800000000002</v>
      </c>
      <c r="T140" s="162" t="s">
        <v>191</v>
      </c>
      <c r="U140" s="162" t="s">
        <v>192</v>
      </c>
      <c r="V140" s="163" t="s">
        <v>198</v>
      </c>
    </row>
    <row r="141" spans="1:22">
      <c r="A141" s="158" t="s">
        <v>55</v>
      </c>
      <c r="B141" s="159">
        <v>7</v>
      </c>
      <c r="C141" s="159">
        <v>30</v>
      </c>
      <c r="D141" s="159">
        <v>11.4</v>
      </c>
      <c r="E141" s="159">
        <v>5.2</v>
      </c>
      <c r="F141" s="159">
        <v>16.5</v>
      </c>
      <c r="G141" s="159">
        <v>16.5</v>
      </c>
      <c r="H141" s="160">
        <f t="shared" si="6"/>
        <v>16.5</v>
      </c>
      <c r="I141" s="159">
        <v>2.02</v>
      </c>
      <c r="J141" s="159">
        <v>1.84</v>
      </c>
      <c r="K141" s="159">
        <v>2.87</v>
      </c>
      <c r="L141" s="159">
        <v>2.59</v>
      </c>
      <c r="M141" s="160">
        <f t="shared" si="7"/>
        <v>4.66</v>
      </c>
      <c r="N141" s="159">
        <v>6.2</v>
      </c>
      <c r="O141" s="160">
        <f t="shared" si="8"/>
        <v>105.75714356000002</v>
      </c>
      <c r="P141" s="159">
        <v>0.54386000000000001</v>
      </c>
      <c r="Q141" s="159">
        <v>2.6609400000000001</v>
      </c>
      <c r="R141" s="159">
        <v>0.69091000000000002</v>
      </c>
      <c r="S141" s="161">
        <v>17.055399999999999</v>
      </c>
      <c r="T141" s="162" t="s">
        <v>191</v>
      </c>
      <c r="U141" s="162" t="s">
        <v>192</v>
      </c>
      <c r="V141" s="163" t="s">
        <v>198</v>
      </c>
    </row>
    <row r="142" spans="1:22">
      <c r="A142" s="158" t="s">
        <v>55</v>
      </c>
      <c r="B142" s="159">
        <v>9</v>
      </c>
      <c r="C142" s="159">
        <v>30</v>
      </c>
      <c r="D142" s="159">
        <v>11.7</v>
      </c>
      <c r="E142" s="159">
        <v>6.2</v>
      </c>
      <c r="F142" s="159">
        <v>13</v>
      </c>
      <c r="G142" s="159">
        <v>13</v>
      </c>
      <c r="H142" s="160">
        <f t="shared" si="6"/>
        <v>13</v>
      </c>
      <c r="I142" s="159">
        <v>1.29</v>
      </c>
      <c r="J142" s="159">
        <v>1.89</v>
      </c>
      <c r="K142" s="159">
        <v>1.62</v>
      </c>
      <c r="L142" s="159">
        <v>1.59</v>
      </c>
      <c r="M142" s="160">
        <f t="shared" si="7"/>
        <v>3.1949999999999998</v>
      </c>
      <c r="N142" s="159">
        <v>5.5</v>
      </c>
      <c r="O142" s="160">
        <f t="shared" si="8"/>
        <v>44.101220006249996</v>
      </c>
      <c r="P142" s="159">
        <v>0.47009000000000001</v>
      </c>
      <c r="Q142" s="159">
        <v>3.4428800000000002</v>
      </c>
      <c r="R142" s="159">
        <v>0.9</v>
      </c>
      <c r="S142" s="161">
        <v>8.01736</v>
      </c>
      <c r="T142" s="162" t="s">
        <v>191</v>
      </c>
      <c r="U142" s="162" t="s">
        <v>192</v>
      </c>
      <c r="V142" s="163" t="s">
        <v>198</v>
      </c>
    </row>
    <row r="143" spans="1:22">
      <c r="A143" s="158" t="s">
        <v>55</v>
      </c>
      <c r="B143" s="159">
        <v>11</v>
      </c>
      <c r="C143" s="159">
        <v>30</v>
      </c>
      <c r="D143" s="159">
        <v>9.9</v>
      </c>
      <c r="E143" s="159">
        <v>6.6</v>
      </c>
      <c r="F143" s="159">
        <v>10</v>
      </c>
      <c r="G143" s="159">
        <v>9.5</v>
      </c>
      <c r="H143" s="160">
        <f t="shared" si="6"/>
        <v>9.75</v>
      </c>
      <c r="I143" s="159">
        <v>0.28999999999999998</v>
      </c>
      <c r="J143" s="159">
        <v>1.06</v>
      </c>
      <c r="K143" s="159">
        <v>1.48</v>
      </c>
      <c r="L143" s="159">
        <v>0.89</v>
      </c>
      <c r="M143" s="160">
        <f t="shared" si="7"/>
        <v>1.86</v>
      </c>
      <c r="N143" s="159">
        <v>3.3</v>
      </c>
      <c r="O143" s="160">
        <f t="shared" si="8"/>
        <v>8.9678021399999999</v>
      </c>
      <c r="P143" s="159">
        <v>0.33333000000000002</v>
      </c>
      <c r="Q143" s="159">
        <v>3.5483899999999999</v>
      </c>
      <c r="R143" s="159">
        <v>1.0153799999999999</v>
      </c>
      <c r="S143" s="161">
        <v>2.7171599999999998</v>
      </c>
      <c r="T143" s="162" t="s">
        <v>191</v>
      </c>
      <c r="U143" s="162" t="s">
        <v>192</v>
      </c>
      <c r="V143" s="163" t="s">
        <v>198</v>
      </c>
    </row>
    <row r="144" spans="1:22">
      <c r="A144" s="159" t="s">
        <v>55</v>
      </c>
      <c r="B144" s="159">
        <v>13</v>
      </c>
      <c r="C144" s="159">
        <v>30</v>
      </c>
      <c r="D144" s="159">
        <v>13.5</v>
      </c>
      <c r="E144" s="159">
        <v>7.5</v>
      </c>
      <c r="F144" s="159">
        <v>16</v>
      </c>
      <c r="G144" s="159">
        <v>16</v>
      </c>
      <c r="H144" s="160">
        <f t="shared" si="6"/>
        <v>16</v>
      </c>
      <c r="I144" s="159">
        <v>1.33</v>
      </c>
      <c r="J144" s="159">
        <v>2.16</v>
      </c>
      <c r="K144" s="159">
        <v>2.54</v>
      </c>
      <c r="L144" s="159">
        <v>1.62</v>
      </c>
      <c r="M144" s="160">
        <f t="shared" si="7"/>
        <v>3.8250000000000002</v>
      </c>
      <c r="N144" s="159">
        <v>6</v>
      </c>
      <c r="O144" s="160">
        <f t="shared" si="8"/>
        <v>68.954135625000006</v>
      </c>
      <c r="P144" s="159">
        <v>0.44444</v>
      </c>
      <c r="Q144" s="159">
        <v>3.1372499999999999</v>
      </c>
      <c r="R144" s="159">
        <v>0.84375</v>
      </c>
      <c r="S144" s="161">
        <v>11.4909</v>
      </c>
      <c r="T144" s="162" t="s">
        <v>191</v>
      </c>
      <c r="U144" s="162" t="s">
        <v>192</v>
      </c>
      <c r="V144" s="163" t="s">
        <v>198</v>
      </c>
    </row>
    <row r="145" spans="1:22">
      <c r="A145" s="159" t="s">
        <v>55</v>
      </c>
      <c r="B145" s="159">
        <v>15</v>
      </c>
      <c r="C145" s="159">
        <v>30</v>
      </c>
      <c r="D145" s="159">
        <v>11.9</v>
      </c>
      <c r="E145" s="159">
        <v>7.8</v>
      </c>
      <c r="F145" s="159">
        <v>11</v>
      </c>
      <c r="G145" s="159">
        <v>11</v>
      </c>
      <c r="H145" s="160">
        <f t="shared" si="6"/>
        <v>11</v>
      </c>
      <c r="I145" s="159">
        <v>0.48</v>
      </c>
      <c r="J145" s="159">
        <v>1.07</v>
      </c>
      <c r="K145" s="159">
        <v>1.37</v>
      </c>
      <c r="L145" s="159">
        <v>0.61</v>
      </c>
      <c r="M145" s="160">
        <f t="shared" si="7"/>
        <v>1.7649999999999999</v>
      </c>
      <c r="N145" s="159">
        <v>4.0999999999999996</v>
      </c>
      <c r="O145" s="160">
        <f t="shared" si="8"/>
        <v>10.032737873749998</v>
      </c>
      <c r="P145" s="159">
        <v>0.34454000000000001</v>
      </c>
      <c r="Q145" s="159">
        <v>4.6458899999999996</v>
      </c>
      <c r="R145" s="159">
        <v>1.08182</v>
      </c>
      <c r="S145" s="161">
        <v>2.4466899999999998</v>
      </c>
      <c r="T145" s="162" t="s">
        <v>191</v>
      </c>
      <c r="U145" s="162" t="s">
        <v>192</v>
      </c>
      <c r="V145" s="163" t="s">
        <v>198</v>
      </c>
    </row>
    <row r="146" spans="1:22">
      <c r="A146" s="159" t="s">
        <v>55</v>
      </c>
      <c r="B146" s="159">
        <v>17</v>
      </c>
      <c r="C146" s="159">
        <v>30</v>
      </c>
      <c r="D146" s="159">
        <v>11.3</v>
      </c>
      <c r="E146" s="159">
        <v>6.9</v>
      </c>
      <c r="F146" s="159">
        <v>12</v>
      </c>
      <c r="G146" s="159">
        <v>12</v>
      </c>
      <c r="H146" s="160">
        <f t="shared" si="6"/>
        <v>12</v>
      </c>
      <c r="I146" s="159">
        <v>0.92</v>
      </c>
      <c r="J146" s="159">
        <v>1.55</v>
      </c>
      <c r="K146" s="159">
        <v>1.54</v>
      </c>
      <c r="L146" s="159">
        <v>0.98</v>
      </c>
      <c r="M146" s="160">
        <f t="shared" si="7"/>
        <v>2.4950000000000001</v>
      </c>
      <c r="N146" s="159">
        <v>4.4000000000000004</v>
      </c>
      <c r="O146" s="160">
        <f t="shared" si="8"/>
        <v>21.514931405000002</v>
      </c>
      <c r="P146" s="159">
        <v>0.38938</v>
      </c>
      <c r="Q146" s="159">
        <v>3.52705</v>
      </c>
      <c r="R146" s="159">
        <v>0.94167000000000001</v>
      </c>
      <c r="S146" s="161">
        <v>4.8891200000000001</v>
      </c>
      <c r="T146" s="162" t="s">
        <v>191</v>
      </c>
      <c r="U146" s="162" t="s">
        <v>192</v>
      </c>
      <c r="V146" s="163" t="s">
        <v>198</v>
      </c>
    </row>
    <row r="147" spans="1:22">
      <c r="A147" s="159" t="s">
        <v>55</v>
      </c>
      <c r="B147" s="159">
        <v>19</v>
      </c>
      <c r="C147" s="159">
        <v>30</v>
      </c>
      <c r="D147" s="159">
        <v>12.1</v>
      </c>
      <c r="E147" s="159">
        <v>6.2</v>
      </c>
      <c r="F147" s="159">
        <v>12.5</v>
      </c>
      <c r="G147" s="159">
        <v>11.5</v>
      </c>
      <c r="H147" s="160">
        <f t="shared" si="6"/>
        <v>12</v>
      </c>
      <c r="I147" s="159">
        <v>0.85</v>
      </c>
      <c r="J147" s="159">
        <v>1.52</v>
      </c>
      <c r="K147" s="159">
        <v>1.51</v>
      </c>
      <c r="L147" s="159">
        <v>1.33</v>
      </c>
      <c r="M147" s="160">
        <f t="shared" si="7"/>
        <v>2.605</v>
      </c>
      <c r="N147" s="159">
        <v>5.9</v>
      </c>
      <c r="O147" s="160">
        <f t="shared" si="8"/>
        <v>31.449493561250002</v>
      </c>
      <c r="P147" s="159">
        <v>0.48759999999999998</v>
      </c>
      <c r="Q147" s="159">
        <v>4.5297499999999999</v>
      </c>
      <c r="R147" s="159">
        <v>1.0083299999999999</v>
      </c>
      <c r="S147" s="161">
        <v>5.3297299999999996</v>
      </c>
      <c r="T147" s="162" t="s">
        <v>191</v>
      </c>
      <c r="U147" s="162" t="s">
        <v>192</v>
      </c>
      <c r="V147" s="163" t="s">
        <v>198</v>
      </c>
    </row>
    <row r="148" spans="1:22">
      <c r="A148" s="159" t="s">
        <v>55</v>
      </c>
      <c r="B148" s="159">
        <v>81</v>
      </c>
      <c r="C148" s="159">
        <v>39</v>
      </c>
      <c r="D148" s="159">
        <v>16.100000000000001</v>
      </c>
      <c r="E148" s="159">
        <v>11.8</v>
      </c>
      <c r="F148" s="159">
        <v>17.5</v>
      </c>
      <c r="G148" s="159">
        <v>16.5</v>
      </c>
      <c r="H148" s="160">
        <f t="shared" si="6"/>
        <v>17</v>
      </c>
      <c r="I148" s="159">
        <v>0.32</v>
      </c>
      <c r="J148" s="159">
        <v>1.94</v>
      </c>
      <c r="K148" s="159">
        <v>1.23</v>
      </c>
      <c r="L148" s="159">
        <v>0.86</v>
      </c>
      <c r="M148" s="160">
        <f t="shared" si="7"/>
        <v>2.1749999999999998</v>
      </c>
      <c r="N148" s="159">
        <v>4.3</v>
      </c>
      <c r="O148" s="160">
        <f t="shared" si="8"/>
        <v>15.978395531249996</v>
      </c>
      <c r="P148" s="159">
        <v>0.2671</v>
      </c>
      <c r="Q148" s="159">
        <v>3.9540000000000002</v>
      </c>
      <c r="R148" s="159">
        <v>0.94710000000000005</v>
      </c>
      <c r="S148" s="161">
        <v>3.7154242000000002</v>
      </c>
      <c r="T148" s="162" t="s">
        <v>199</v>
      </c>
      <c r="U148" s="162" t="s">
        <v>200</v>
      </c>
      <c r="V148" s="163" t="s">
        <v>201</v>
      </c>
    </row>
    <row r="149" spans="1:22">
      <c r="A149" s="159" t="s">
        <v>55</v>
      </c>
      <c r="B149" s="159">
        <v>83</v>
      </c>
      <c r="C149" s="159">
        <v>39</v>
      </c>
      <c r="D149" s="159">
        <v>20</v>
      </c>
      <c r="E149" s="159">
        <v>10.6</v>
      </c>
      <c r="F149" s="159">
        <v>22</v>
      </c>
      <c r="G149" s="159">
        <v>23.5</v>
      </c>
      <c r="H149" s="160">
        <f t="shared" si="6"/>
        <v>22.75</v>
      </c>
      <c r="I149" s="159">
        <v>1.03</v>
      </c>
      <c r="J149" s="159">
        <v>3.32</v>
      </c>
      <c r="K149" s="159">
        <v>2.21</v>
      </c>
      <c r="L149" s="159">
        <v>1.76</v>
      </c>
      <c r="M149" s="160">
        <f t="shared" si="7"/>
        <v>4.16</v>
      </c>
      <c r="N149" s="159">
        <v>9.4</v>
      </c>
      <c r="O149" s="160">
        <f t="shared" si="8"/>
        <v>127.77935872</v>
      </c>
      <c r="P149" s="159">
        <v>0.47</v>
      </c>
      <c r="Q149" s="159">
        <v>4.5191999999999997</v>
      </c>
      <c r="R149" s="159">
        <v>0.87909999999999999</v>
      </c>
      <c r="S149" s="161">
        <v>13.591786000000001</v>
      </c>
      <c r="T149" s="162" t="s">
        <v>199</v>
      </c>
      <c r="U149" s="162" t="s">
        <v>200</v>
      </c>
      <c r="V149" s="163" t="s">
        <v>201</v>
      </c>
    </row>
    <row r="150" spans="1:22">
      <c r="A150" s="159" t="s">
        <v>55</v>
      </c>
      <c r="B150" s="159">
        <v>85</v>
      </c>
      <c r="C150" s="159">
        <v>39</v>
      </c>
      <c r="D150" s="159">
        <v>20.7</v>
      </c>
      <c r="E150" s="159">
        <v>14.4</v>
      </c>
      <c r="F150" s="159">
        <v>27</v>
      </c>
      <c r="G150" s="159">
        <v>25.5</v>
      </c>
      <c r="H150" s="160">
        <f t="shared" si="6"/>
        <v>26.25</v>
      </c>
      <c r="I150" s="159">
        <v>1.74</v>
      </c>
      <c r="J150" s="159">
        <v>3.21</v>
      </c>
      <c r="K150" s="159">
        <v>2.04</v>
      </c>
      <c r="L150" s="159">
        <v>2.61</v>
      </c>
      <c r="M150" s="160">
        <f t="shared" si="7"/>
        <v>4.8</v>
      </c>
      <c r="N150" s="159">
        <v>6.3</v>
      </c>
      <c r="O150" s="160">
        <f t="shared" si="8"/>
        <v>114.01689599999999</v>
      </c>
      <c r="P150" s="159">
        <v>0.30430000000000001</v>
      </c>
      <c r="Q150" s="159">
        <v>2.625</v>
      </c>
      <c r="R150" s="159">
        <v>0.78859999999999997</v>
      </c>
      <c r="S150" s="161">
        <v>18.095573999999999</v>
      </c>
      <c r="T150" s="162" t="s">
        <v>199</v>
      </c>
      <c r="U150" s="162" t="s">
        <v>200</v>
      </c>
      <c r="V150" s="163" t="s">
        <v>201</v>
      </c>
    </row>
    <row r="151" spans="1:22">
      <c r="A151" s="159" t="s">
        <v>55</v>
      </c>
      <c r="B151" s="159">
        <v>87</v>
      </c>
      <c r="C151" s="159">
        <v>39</v>
      </c>
      <c r="D151" s="159">
        <v>17.2</v>
      </c>
      <c r="E151" s="159">
        <v>11.5</v>
      </c>
      <c r="F151" s="159">
        <v>22.5</v>
      </c>
      <c r="G151" s="159">
        <v>24.5</v>
      </c>
      <c r="H151" s="160">
        <f t="shared" si="6"/>
        <v>23.5</v>
      </c>
      <c r="I151" s="159">
        <v>0</v>
      </c>
      <c r="J151" s="159">
        <v>2.61</v>
      </c>
      <c r="K151" s="159">
        <v>2.96</v>
      </c>
      <c r="L151" s="159">
        <v>1.61</v>
      </c>
      <c r="M151" s="160">
        <f t="shared" si="7"/>
        <v>3.5900000000000003</v>
      </c>
      <c r="N151" s="159">
        <v>5.7</v>
      </c>
      <c r="O151" s="160">
        <f t="shared" si="8"/>
        <v>57.704534535000008</v>
      </c>
      <c r="P151" s="159">
        <v>0.33139999999999997</v>
      </c>
      <c r="Q151" s="159">
        <v>3.1755</v>
      </c>
      <c r="R151" s="159">
        <v>0.7319</v>
      </c>
      <c r="S151" s="161">
        <v>10.12229</v>
      </c>
      <c r="T151" s="162" t="s">
        <v>199</v>
      </c>
      <c r="U151" s="162" t="s">
        <v>200</v>
      </c>
      <c r="V151" s="163" t="s">
        <v>201</v>
      </c>
    </row>
    <row r="152" spans="1:22">
      <c r="A152" s="159" t="s">
        <v>55</v>
      </c>
      <c r="B152" s="159">
        <v>89</v>
      </c>
      <c r="C152" s="159">
        <v>39</v>
      </c>
      <c r="D152" s="159">
        <v>20.8</v>
      </c>
      <c r="E152" s="159">
        <v>15.9</v>
      </c>
      <c r="F152" s="159">
        <v>18</v>
      </c>
      <c r="G152" s="159">
        <v>20</v>
      </c>
      <c r="H152" s="160">
        <f t="shared" si="6"/>
        <v>19</v>
      </c>
      <c r="I152" s="159">
        <v>0.57999999999999996</v>
      </c>
      <c r="J152" s="159">
        <v>2.78</v>
      </c>
      <c r="K152" s="159">
        <v>2.78</v>
      </c>
      <c r="L152" s="159">
        <v>0.75</v>
      </c>
      <c r="M152" s="160">
        <f t="shared" si="7"/>
        <v>3.4449999999999998</v>
      </c>
      <c r="N152" s="159">
        <v>4.9000000000000004</v>
      </c>
      <c r="O152" s="160">
        <f t="shared" si="8"/>
        <v>45.67943482375</v>
      </c>
      <c r="P152" s="159">
        <v>0.2356</v>
      </c>
      <c r="Q152" s="159">
        <v>2.8447</v>
      </c>
      <c r="R152" s="159">
        <v>1.0947</v>
      </c>
      <c r="S152" s="161">
        <v>9.3211250000000003</v>
      </c>
      <c r="T152" s="162" t="s">
        <v>199</v>
      </c>
      <c r="U152" s="162" t="s">
        <v>200</v>
      </c>
      <c r="V152" s="163" t="s">
        <v>201</v>
      </c>
    </row>
    <row r="153" spans="1:22">
      <c r="A153" s="159" t="s">
        <v>55</v>
      </c>
      <c r="B153" s="159">
        <v>91</v>
      </c>
      <c r="C153" s="159">
        <v>39</v>
      </c>
      <c r="D153" s="159">
        <v>16.8</v>
      </c>
      <c r="E153" s="159">
        <v>13.6</v>
      </c>
      <c r="F153" s="159">
        <v>20</v>
      </c>
      <c r="G153" s="159">
        <v>20</v>
      </c>
      <c r="H153" s="160">
        <f t="shared" si="6"/>
        <v>20</v>
      </c>
      <c r="I153" s="159">
        <v>0.62</v>
      </c>
      <c r="J153" s="159">
        <v>1.34</v>
      </c>
      <c r="K153" s="159">
        <v>1.86</v>
      </c>
      <c r="L153" s="159">
        <v>2.06</v>
      </c>
      <c r="M153" s="160">
        <f t="shared" si="7"/>
        <v>2.9400000000000004</v>
      </c>
      <c r="N153" s="159">
        <v>3.2</v>
      </c>
      <c r="O153" s="160">
        <f t="shared" si="8"/>
        <v>21.726552960000006</v>
      </c>
      <c r="P153" s="159">
        <v>0.1905</v>
      </c>
      <c r="Q153" s="159">
        <v>2.1768999999999998</v>
      </c>
      <c r="R153" s="159">
        <v>0.84</v>
      </c>
      <c r="S153" s="161">
        <v>6.7886676000000001</v>
      </c>
      <c r="T153" s="162" t="s">
        <v>199</v>
      </c>
      <c r="U153" s="162" t="s">
        <v>200</v>
      </c>
      <c r="V153" s="163" t="s">
        <v>201</v>
      </c>
    </row>
    <row r="154" spans="1:22">
      <c r="A154" s="159" t="s">
        <v>55</v>
      </c>
      <c r="B154" s="159">
        <v>93</v>
      </c>
      <c r="C154" s="159">
        <v>39</v>
      </c>
      <c r="D154" s="159">
        <v>20</v>
      </c>
      <c r="E154" s="159">
        <v>11.5</v>
      </c>
      <c r="F154" s="159">
        <v>24</v>
      </c>
      <c r="G154" s="159">
        <v>23.5</v>
      </c>
      <c r="H154" s="160">
        <f t="shared" si="6"/>
        <v>23.75</v>
      </c>
      <c r="I154" s="159">
        <v>0</v>
      </c>
      <c r="J154" s="159">
        <v>3.35</v>
      </c>
      <c r="K154" s="159">
        <v>4.21</v>
      </c>
      <c r="L154" s="159">
        <v>1.38</v>
      </c>
      <c r="M154" s="160">
        <f t="shared" si="7"/>
        <v>4.4700000000000006</v>
      </c>
      <c r="N154" s="159">
        <v>8.5</v>
      </c>
      <c r="O154" s="160">
        <f t="shared" si="8"/>
        <v>133.40747407500004</v>
      </c>
      <c r="P154" s="159">
        <v>0.42499999999999999</v>
      </c>
      <c r="Q154" s="159">
        <v>3.8031000000000001</v>
      </c>
      <c r="R154" s="159">
        <v>0.84209999999999996</v>
      </c>
      <c r="S154" s="161">
        <v>15.692962</v>
      </c>
      <c r="T154" s="162" t="s">
        <v>199</v>
      </c>
      <c r="U154" s="162" t="s">
        <v>200</v>
      </c>
      <c r="V154" s="163" t="s">
        <v>201</v>
      </c>
    </row>
    <row r="155" spans="1:22">
      <c r="A155" s="159" t="s">
        <v>55</v>
      </c>
      <c r="B155" s="159">
        <v>95</v>
      </c>
      <c r="C155" s="159">
        <v>39</v>
      </c>
      <c r="D155" s="159">
        <v>21.7</v>
      </c>
      <c r="E155" s="159">
        <v>13.3</v>
      </c>
      <c r="F155" s="159">
        <v>20</v>
      </c>
      <c r="G155" s="159">
        <v>19.5</v>
      </c>
      <c r="H155" s="160">
        <f t="shared" si="6"/>
        <v>19.75</v>
      </c>
      <c r="I155" s="159">
        <v>2.2000000000000002</v>
      </c>
      <c r="J155" s="159">
        <v>3.01</v>
      </c>
      <c r="K155" s="159">
        <v>1.18</v>
      </c>
      <c r="L155" s="159">
        <v>1.66</v>
      </c>
      <c r="M155" s="160">
        <f t="shared" si="7"/>
        <v>4.0249999999999995</v>
      </c>
      <c r="N155" s="159">
        <v>8.4</v>
      </c>
      <c r="O155" s="160">
        <f t="shared" si="8"/>
        <v>106.89496387499997</v>
      </c>
      <c r="P155" s="159">
        <v>0.3871</v>
      </c>
      <c r="Q155" s="159">
        <v>4.1738999999999997</v>
      </c>
      <c r="R155" s="159">
        <v>1.0987</v>
      </c>
      <c r="S155" s="161">
        <v>12.723941</v>
      </c>
      <c r="T155" s="162" t="s">
        <v>199</v>
      </c>
      <c r="U155" s="162" t="s">
        <v>200</v>
      </c>
      <c r="V155" s="163" t="s">
        <v>201</v>
      </c>
    </row>
    <row r="156" spans="1:22">
      <c r="A156" s="159" t="s">
        <v>55</v>
      </c>
      <c r="B156" s="159">
        <v>97</v>
      </c>
      <c r="C156" s="159">
        <v>39</v>
      </c>
      <c r="D156" s="159">
        <v>21</v>
      </c>
      <c r="E156" s="159">
        <v>14.6</v>
      </c>
      <c r="F156" s="159">
        <v>22.5</v>
      </c>
      <c r="G156" s="159">
        <v>23.5</v>
      </c>
      <c r="H156" s="160">
        <f t="shared" si="6"/>
        <v>23</v>
      </c>
      <c r="I156" s="159">
        <v>1.1100000000000001</v>
      </c>
      <c r="J156" s="159">
        <v>1.1299999999999999</v>
      </c>
      <c r="K156" s="159">
        <v>3.25</v>
      </c>
      <c r="L156" s="159">
        <v>3.13</v>
      </c>
      <c r="M156" s="160">
        <f t="shared" si="7"/>
        <v>4.3100000000000005</v>
      </c>
      <c r="N156" s="159">
        <v>6.4</v>
      </c>
      <c r="O156" s="160">
        <f t="shared" si="8"/>
        <v>93.38576992000003</v>
      </c>
      <c r="P156" s="159">
        <v>0.30480000000000002</v>
      </c>
      <c r="Q156" s="159">
        <v>2.9698000000000002</v>
      </c>
      <c r="R156" s="159">
        <v>0.91300000000000003</v>
      </c>
      <c r="S156" s="161">
        <v>14.589634999999999</v>
      </c>
      <c r="T156" s="162" t="s">
        <v>199</v>
      </c>
      <c r="U156" s="162" t="s">
        <v>200</v>
      </c>
      <c r="V156" s="163" t="s">
        <v>201</v>
      </c>
    </row>
    <row r="157" spans="1:22">
      <c r="A157" s="159" t="s">
        <v>55</v>
      </c>
      <c r="B157" s="159">
        <v>99</v>
      </c>
      <c r="C157" s="159">
        <v>39</v>
      </c>
      <c r="D157" s="159">
        <v>16.899999999999999</v>
      </c>
      <c r="E157" s="159">
        <v>10</v>
      </c>
      <c r="F157" s="159">
        <v>18</v>
      </c>
      <c r="G157" s="159">
        <v>17.5</v>
      </c>
      <c r="H157" s="160">
        <f t="shared" si="6"/>
        <v>17.75</v>
      </c>
      <c r="I157" s="159">
        <v>0.93</v>
      </c>
      <c r="J157" s="159">
        <v>3.06</v>
      </c>
      <c r="K157" s="159">
        <v>2.23</v>
      </c>
      <c r="L157" s="159">
        <v>2.9</v>
      </c>
      <c r="M157" s="160">
        <f t="shared" si="7"/>
        <v>4.5600000000000005</v>
      </c>
      <c r="N157" s="159">
        <v>6.9</v>
      </c>
      <c r="O157" s="160">
        <f t="shared" si="8"/>
        <v>112.70027232000002</v>
      </c>
      <c r="P157" s="159">
        <v>0.4083</v>
      </c>
      <c r="Q157" s="159">
        <v>3.0263</v>
      </c>
      <c r="R157" s="159">
        <v>0.95209999999999995</v>
      </c>
      <c r="S157" s="161">
        <v>16.331254999999999</v>
      </c>
      <c r="T157" s="162" t="s">
        <v>199</v>
      </c>
      <c r="U157" s="162" t="s">
        <v>200</v>
      </c>
      <c r="V157" s="163" t="s">
        <v>201</v>
      </c>
    </row>
    <row r="158" spans="1:22">
      <c r="A158" s="159" t="s">
        <v>55</v>
      </c>
      <c r="B158" s="159">
        <v>121</v>
      </c>
      <c r="C158" s="159">
        <v>51</v>
      </c>
      <c r="D158" s="159">
        <v>20.399999999999999</v>
      </c>
      <c r="E158" s="159">
        <v>13.2</v>
      </c>
      <c r="F158" s="159">
        <v>26</v>
      </c>
      <c r="G158" s="159">
        <v>25</v>
      </c>
      <c r="H158" s="160">
        <f t="shared" si="6"/>
        <v>25.5</v>
      </c>
      <c r="I158" s="159">
        <v>0.78</v>
      </c>
      <c r="J158" s="159">
        <v>1.99</v>
      </c>
      <c r="K158" s="159">
        <v>3.97</v>
      </c>
      <c r="L158" s="159">
        <v>2.97</v>
      </c>
      <c r="M158" s="160">
        <f t="shared" si="7"/>
        <v>4.8550000000000004</v>
      </c>
      <c r="N158" s="159">
        <v>7.2</v>
      </c>
      <c r="O158" s="160">
        <f t="shared" si="8"/>
        <v>133.30828899000005</v>
      </c>
      <c r="P158" s="159">
        <v>0.352941</v>
      </c>
      <c r="Q158" s="159">
        <v>2.9660099999999998</v>
      </c>
      <c r="R158" s="159">
        <v>0.8</v>
      </c>
      <c r="S158" s="161">
        <v>18.512640000000001</v>
      </c>
      <c r="T158" s="162" t="s">
        <v>191</v>
      </c>
      <c r="U158" s="162" t="s">
        <v>200</v>
      </c>
      <c r="V158" s="163" t="s">
        <v>202</v>
      </c>
    </row>
    <row r="159" spans="1:22">
      <c r="A159" s="159" t="s">
        <v>55</v>
      </c>
      <c r="B159" s="159">
        <v>123</v>
      </c>
      <c r="C159" s="159">
        <v>51</v>
      </c>
      <c r="D159" s="159">
        <v>20.6</v>
      </c>
      <c r="E159" s="159">
        <v>16.100000000000001</v>
      </c>
      <c r="F159" s="159">
        <v>20</v>
      </c>
      <c r="G159" s="159">
        <v>20.5</v>
      </c>
      <c r="H159" s="160">
        <f t="shared" si="6"/>
        <v>20.25</v>
      </c>
      <c r="I159" s="159">
        <v>0.91</v>
      </c>
      <c r="J159" s="159">
        <v>1.57</v>
      </c>
      <c r="K159" s="159">
        <v>2.71</v>
      </c>
      <c r="L159" s="159">
        <v>2.02</v>
      </c>
      <c r="M159" s="160">
        <f t="shared" si="7"/>
        <v>3.6049999999999995</v>
      </c>
      <c r="N159" s="159">
        <v>4.5</v>
      </c>
      <c r="O159" s="160">
        <f t="shared" si="8"/>
        <v>45.937699368749982</v>
      </c>
      <c r="P159" s="159">
        <v>0.218447</v>
      </c>
      <c r="Q159" s="159">
        <v>2.4965299999999999</v>
      </c>
      <c r="R159" s="159">
        <v>1.01728</v>
      </c>
      <c r="S159" s="161">
        <v>10.207050000000001</v>
      </c>
      <c r="T159" s="162" t="s">
        <v>191</v>
      </c>
      <c r="U159" s="162" t="s">
        <v>200</v>
      </c>
      <c r="V159" s="163" t="s">
        <v>202</v>
      </c>
    </row>
    <row r="160" spans="1:22">
      <c r="A160" s="159" t="s">
        <v>55</v>
      </c>
      <c r="B160" s="159">
        <v>125</v>
      </c>
      <c r="C160" s="159">
        <v>51</v>
      </c>
      <c r="D160" s="159">
        <v>19.2</v>
      </c>
      <c r="E160" s="159">
        <v>10.3</v>
      </c>
      <c r="F160" s="159">
        <v>21</v>
      </c>
      <c r="G160" s="159">
        <v>20</v>
      </c>
      <c r="H160" s="160">
        <f t="shared" si="6"/>
        <v>20.5</v>
      </c>
      <c r="I160" s="159">
        <v>1.76</v>
      </c>
      <c r="J160" s="159">
        <v>3.11</v>
      </c>
      <c r="K160" s="159">
        <v>2.04</v>
      </c>
      <c r="L160" s="159">
        <v>2.86</v>
      </c>
      <c r="M160" s="160">
        <f t="shared" si="7"/>
        <v>4.8849999999999998</v>
      </c>
      <c r="N160" s="159">
        <v>8.9</v>
      </c>
      <c r="O160" s="160">
        <f t="shared" si="8"/>
        <v>166.82661281374996</v>
      </c>
      <c r="P160" s="159">
        <v>0.46354200000000001</v>
      </c>
      <c r="Q160" s="159">
        <v>3.6438100000000002</v>
      </c>
      <c r="R160" s="159">
        <v>0.93659000000000003</v>
      </c>
      <c r="S160" s="161">
        <v>18.74213</v>
      </c>
      <c r="T160" s="162" t="s">
        <v>191</v>
      </c>
      <c r="U160" s="162" t="s">
        <v>200</v>
      </c>
      <c r="V160" s="163" t="s">
        <v>202</v>
      </c>
    </row>
    <row r="161" spans="1:22">
      <c r="A161" s="159" t="s">
        <v>55</v>
      </c>
      <c r="B161" s="159">
        <v>127</v>
      </c>
      <c r="C161" s="159">
        <v>51</v>
      </c>
      <c r="D161" s="159">
        <v>20.100000000000001</v>
      </c>
      <c r="E161" s="159">
        <v>12.3</v>
      </c>
      <c r="F161" s="159">
        <v>22.5</v>
      </c>
      <c r="G161" s="159">
        <v>21</v>
      </c>
      <c r="H161" s="160">
        <f t="shared" si="6"/>
        <v>21.75</v>
      </c>
      <c r="I161" s="159">
        <v>0.87</v>
      </c>
      <c r="J161" s="159">
        <v>2.31</v>
      </c>
      <c r="K161" s="159">
        <v>2.39</v>
      </c>
      <c r="L161" s="159">
        <v>3</v>
      </c>
      <c r="M161" s="160">
        <f t="shared" si="7"/>
        <v>4.2850000000000001</v>
      </c>
      <c r="N161" s="159">
        <v>7.8</v>
      </c>
      <c r="O161" s="160">
        <f t="shared" si="8"/>
        <v>112.49738945249999</v>
      </c>
      <c r="P161" s="159">
        <v>0.38806000000000002</v>
      </c>
      <c r="Q161" s="159">
        <v>3.6406100000000001</v>
      </c>
      <c r="R161" s="159">
        <v>0.92413999999999996</v>
      </c>
      <c r="S161" s="161">
        <v>14.420870000000001</v>
      </c>
      <c r="T161" s="162" t="s">
        <v>191</v>
      </c>
      <c r="U161" s="162" t="s">
        <v>200</v>
      </c>
      <c r="V161" s="163" t="s">
        <v>202</v>
      </c>
    </row>
    <row r="162" spans="1:22">
      <c r="A162" s="159" t="s">
        <v>55</v>
      </c>
      <c r="B162" s="159">
        <v>131</v>
      </c>
      <c r="C162" s="159">
        <v>51</v>
      </c>
      <c r="D162" s="159">
        <v>22.4</v>
      </c>
      <c r="E162" s="159">
        <v>13.8</v>
      </c>
      <c r="F162" s="159">
        <v>21.5</v>
      </c>
      <c r="G162" s="159">
        <v>21.5</v>
      </c>
      <c r="H162" s="160">
        <f t="shared" si="6"/>
        <v>21.5</v>
      </c>
      <c r="I162" s="159">
        <v>1.06</v>
      </c>
      <c r="J162" s="159">
        <v>2.13</v>
      </c>
      <c r="K162" s="159">
        <v>0.69</v>
      </c>
      <c r="L162" s="159">
        <v>2.71</v>
      </c>
      <c r="M162" s="160">
        <f t="shared" si="7"/>
        <v>3.2949999999999999</v>
      </c>
      <c r="N162" s="159">
        <v>8.6</v>
      </c>
      <c r="O162" s="160">
        <f t="shared" si="8"/>
        <v>73.3424609825</v>
      </c>
      <c r="P162" s="159">
        <v>0.38392900000000002</v>
      </c>
      <c r="Q162" s="159">
        <v>5.2200300000000004</v>
      </c>
      <c r="R162" s="159">
        <v>1.04186</v>
      </c>
      <c r="S162" s="161">
        <v>8.5270869999999999</v>
      </c>
      <c r="T162" s="162" t="s">
        <v>191</v>
      </c>
      <c r="U162" s="162" t="s">
        <v>200</v>
      </c>
      <c r="V162" s="163" t="s">
        <v>202</v>
      </c>
    </row>
    <row r="163" spans="1:22">
      <c r="A163" s="159" t="s">
        <v>55</v>
      </c>
      <c r="B163" s="159">
        <v>133</v>
      </c>
      <c r="C163" s="159">
        <v>51</v>
      </c>
      <c r="D163" s="159">
        <v>19.7</v>
      </c>
      <c r="E163" s="159">
        <v>10.8</v>
      </c>
      <c r="F163" s="159">
        <v>24</v>
      </c>
      <c r="G163" s="159">
        <v>25</v>
      </c>
      <c r="H163" s="160">
        <f t="shared" si="6"/>
        <v>24.5</v>
      </c>
      <c r="I163" s="159">
        <v>1.49</v>
      </c>
      <c r="J163" s="159">
        <v>2.08</v>
      </c>
      <c r="K163" s="159">
        <v>3.74</v>
      </c>
      <c r="L163" s="159">
        <v>3.31</v>
      </c>
      <c r="M163" s="160">
        <f t="shared" si="7"/>
        <v>5.3100000000000005</v>
      </c>
      <c r="N163" s="159">
        <v>8.9</v>
      </c>
      <c r="O163" s="160">
        <f t="shared" si="8"/>
        <v>197.11752529500004</v>
      </c>
      <c r="P163" s="159">
        <v>0.45177699999999998</v>
      </c>
      <c r="Q163" s="159">
        <v>3.3521700000000001</v>
      </c>
      <c r="R163" s="159">
        <v>0.80408000000000002</v>
      </c>
      <c r="S163" s="161">
        <v>22.14517</v>
      </c>
      <c r="T163" s="162" t="s">
        <v>191</v>
      </c>
      <c r="U163" s="162" t="s">
        <v>200</v>
      </c>
      <c r="V163" s="163" t="s">
        <v>202</v>
      </c>
    </row>
    <row r="164" spans="1:22">
      <c r="A164" s="158" t="s">
        <v>55</v>
      </c>
      <c r="B164" s="159">
        <v>135</v>
      </c>
      <c r="C164" s="159">
        <v>51</v>
      </c>
      <c r="D164" s="159">
        <v>20</v>
      </c>
      <c r="E164" s="159">
        <v>12.1</v>
      </c>
      <c r="F164" s="159">
        <v>22.5</v>
      </c>
      <c r="G164" s="159">
        <v>22.5</v>
      </c>
      <c r="H164" s="160">
        <f t="shared" si="6"/>
        <v>22.5</v>
      </c>
      <c r="I164" s="159">
        <v>1.88</v>
      </c>
      <c r="J164" s="159">
        <v>2.4700000000000002</v>
      </c>
      <c r="K164" s="159">
        <v>1.1000000000000001</v>
      </c>
      <c r="L164" s="159">
        <v>2.3199999999999998</v>
      </c>
      <c r="M164" s="160">
        <f t="shared" si="7"/>
        <v>3.8849999999999998</v>
      </c>
      <c r="N164" s="159">
        <v>7.9</v>
      </c>
      <c r="O164" s="160">
        <f t="shared" si="8"/>
        <v>93.660253076250001</v>
      </c>
      <c r="P164" s="159">
        <v>0.39500000000000002</v>
      </c>
      <c r="Q164" s="159">
        <v>4.0669199999999996</v>
      </c>
      <c r="R164" s="159">
        <v>0.88888999999999996</v>
      </c>
      <c r="S164" s="161">
        <v>11.854189999999999</v>
      </c>
      <c r="T164" s="162" t="s">
        <v>191</v>
      </c>
      <c r="U164" s="162" t="s">
        <v>200</v>
      </c>
      <c r="V164" s="163" t="s">
        <v>202</v>
      </c>
    </row>
    <row r="165" spans="1:22">
      <c r="A165" s="158" t="s">
        <v>55</v>
      </c>
      <c r="B165" s="159">
        <v>137</v>
      </c>
      <c r="C165" s="159">
        <v>51</v>
      </c>
      <c r="D165" s="159">
        <v>22.1</v>
      </c>
      <c r="E165" s="159">
        <v>13.5</v>
      </c>
      <c r="F165" s="159">
        <v>25</v>
      </c>
      <c r="G165" s="159">
        <v>27.5</v>
      </c>
      <c r="H165" s="160">
        <f t="shared" si="6"/>
        <v>26.25</v>
      </c>
      <c r="I165" s="159">
        <v>1.76</v>
      </c>
      <c r="J165" s="159">
        <v>1.74</v>
      </c>
      <c r="K165" s="159">
        <v>2.2799999999999998</v>
      </c>
      <c r="L165" s="159">
        <v>2.04</v>
      </c>
      <c r="M165" s="160">
        <f t="shared" si="7"/>
        <v>3.9099999999999997</v>
      </c>
      <c r="N165" s="159">
        <v>8.6</v>
      </c>
      <c r="O165" s="160">
        <f t="shared" si="8"/>
        <v>103.27570192999998</v>
      </c>
      <c r="P165" s="159">
        <v>0.38913999999999999</v>
      </c>
      <c r="Q165" s="159">
        <v>4.3989799999999999</v>
      </c>
      <c r="R165" s="159">
        <v>0.84189999999999998</v>
      </c>
      <c r="S165" s="161">
        <v>12.007250000000001</v>
      </c>
      <c r="T165" s="162" t="s">
        <v>191</v>
      </c>
      <c r="U165" s="162" t="s">
        <v>200</v>
      </c>
      <c r="V165" s="163" t="s">
        <v>202</v>
      </c>
    </row>
    <row r="166" spans="1:22">
      <c r="A166" s="158" t="s">
        <v>55</v>
      </c>
      <c r="B166" s="159">
        <v>139</v>
      </c>
      <c r="C166" s="159">
        <v>51</v>
      </c>
      <c r="D166" s="159">
        <v>18.100000000000001</v>
      </c>
      <c r="E166" s="159">
        <v>11.9</v>
      </c>
      <c r="F166" s="159">
        <v>22</v>
      </c>
      <c r="G166" s="159">
        <v>21.5</v>
      </c>
      <c r="H166" s="160">
        <f t="shared" si="6"/>
        <v>21.75</v>
      </c>
      <c r="I166" s="159">
        <v>0</v>
      </c>
      <c r="J166" s="159">
        <v>1.22</v>
      </c>
      <c r="K166" s="159">
        <v>3.89</v>
      </c>
      <c r="L166" s="159">
        <v>4.32</v>
      </c>
      <c r="M166" s="160">
        <f t="shared" si="7"/>
        <v>4.7149999999999999</v>
      </c>
      <c r="N166" s="159">
        <v>6.2</v>
      </c>
      <c r="O166" s="160">
        <f t="shared" si="8"/>
        <v>108.26828887249999</v>
      </c>
      <c r="P166" s="159">
        <v>0.34254099999999998</v>
      </c>
      <c r="Q166" s="159">
        <v>2.6299000000000001</v>
      </c>
      <c r="R166" s="159">
        <v>0.83218000000000003</v>
      </c>
      <c r="S166" s="161">
        <v>17.460360000000001</v>
      </c>
      <c r="T166" s="162" t="s">
        <v>191</v>
      </c>
      <c r="U166" s="162" t="s">
        <v>200</v>
      </c>
      <c r="V166" s="163" t="s">
        <v>202</v>
      </c>
    </row>
    <row r="167" spans="1:22">
      <c r="A167" s="158" t="s">
        <v>55</v>
      </c>
      <c r="B167" s="159">
        <v>129</v>
      </c>
      <c r="C167" s="159">
        <v>51</v>
      </c>
      <c r="D167" s="159">
        <v>20.399999999999999</v>
      </c>
      <c r="E167" s="159">
        <v>11.1</v>
      </c>
      <c r="F167" s="159">
        <v>22</v>
      </c>
      <c r="G167" s="159">
        <v>21.5</v>
      </c>
      <c r="H167" s="160">
        <f t="shared" si="6"/>
        <v>21.75</v>
      </c>
      <c r="I167" s="159">
        <v>0.74</v>
      </c>
      <c r="J167" s="159">
        <v>2.39</v>
      </c>
      <c r="K167" s="159">
        <v>2.76</v>
      </c>
      <c r="L167" s="159">
        <v>2.66</v>
      </c>
      <c r="M167" s="160">
        <f t="shared" si="7"/>
        <v>4.2750000000000004</v>
      </c>
      <c r="N167" s="159">
        <v>9.3000000000000007</v>
      </c>
      <c r="O167" s="160">
        <f t="shared" si="8"/>
        <v>133.50618196875001</v>
      </c>
      <c r="P167" s="159">
        <v>0.45588200000000001</v>
      </c>
      <c r="Q167" s="159">
        <v>4.3508800000000001</v>
      </c>
      <c r="R167" s="159">
        <v>0.93793000000000004</v>
      </c>
      <c r="S167" s="161">
        <v>14.35364</v>
      </c>
      <c r="T167" s="162" t="s">
        <v>191</v>
      </c>
      <c r="U167" s="162" t="s">
        <v>200</v>
      </c>
      <c r="V167" s="163" t="s">
        <v>202</v>
      </c>
    </row>
    <row r="168" spans="1:22">
      <c r="A168" s="158" t="s">
        <v>55</v>
      </c>
      <c r="B168" s="159">
        <v>141</v>
      </c>
      <c r="C168" s="159">
        <v>62</v>
      </c>
      <c r="D168" s="159">
        <v>24.5</v>
      </c>
      <c r="E168" s="159">
        <v>16.5</v>
      </c>
      <c r="F168" s="159">
        <v>35.5</v>
      </c>
      <c r="G168" s="159">
        <v>36</v>
      </c>
      <c r="H168" s="160">
        <f t="shared" si="6"/>
        <v>35.75</v>
      </c>
      <c r="I168" s="159">
        <v>3.68</v>
      </c>
      <c r="J168" s="159">
        <v>2.31</v>
      </c>
      <c r="K168" s="159">
        <v>2.02</v>
      </c>
      <c r="L168" s="159">
        <v>3.95</v>
      </c>
      <c r="M168" s="160">
        <f t="shared" si="7"/>
        <v>5.98</v>
      </c>
      <c r="N168" s="159">
        <v>8</v>
      </c>
      <c r="O168" s="160">
        <f t="shared" si="8"/>
        <v>224.71835360000003</v>
      </c>
      <c r="P168" s="159">
        <v>0.32652999999999999</v>
      </c>
      <c r="Q168" s="159">
        <v>2.6755900000000001</v>
      </c>
      <c r="R168" s="159">
        <v>0.68530999999999997</v>
      </c>
      <c r="S168" s="161">
        <v>28.08615</v>
      </c>
      <c r="T168" s="162" t="s">
        <v>191</v>
      </c>
      <c r="U168" s="162" t="s">
        <v>203</v>
      </c>
      <c r="V168" s="163" t="s">
        <v>204</v>
      </c>
    </row>
    <row r="169" spans="1:22">
      <c r="A169" s="158" t="s">
        <v>55</v>
      </c>
      <c r="B169" s="159">
        <v>143</v>
      </c>
      <c r="C169" s="159">
        <v>62</v>
      </c>
      <c r="D169" s="159">
        <v>26.6</v>
      </c>
      <c r="E169" s="159">
        <v>17.100000000000001</v>
      </c>
      <c r="F169" s="159">
        <v>33.5</v>
      </c>
      <c r="G169" s="159">
        <v>31.5</v>
      </c>
      <c r="H169" s="160">
        <f t="shared" si="6"/>
        <v>32.5</v>
      </c>
      <c r="I169" s="159">
        <v>3.26</v>
      </c>
      <c r="J169" s="159">
        <v>1.94</v>
      </c>
      <c r="K169" s="159">
        <v>2.21</v>
      </c>
      <c r="L169" s="159">
        <v>3.93</v>
      </c>
      <c r="M169" s="160">
        <f t="shared" si="7"/>
        <v>5.67</v>
      </c>
      <c r="N169" s="159">
        <v>9.5</v>
      </c>
      <c r="O169" s="160">
        <f t="shared" si="8"/>
        <v>239.903129025</v>
      </c>
      <c r="P169" s="159">
        <v>0.35714000000000001</v>
      </c>
      <c r="Q169" s="159">
        <v>3.3509699999999998</v>
      </c>
      <c r="R169" s="159">
        <v>0.81845999999999997</v>
      </c>
      <c r="S169" s="161">
        <v>25.249690000000001</v>
      </c>
      <c r="T169" s="162" t="s">
        <v>191</v>
      </c>
      <c r="U169" s="162" t="s">
        <v>203</v>
      </c>
      <c r="V169" s="163" t="s">
        <v>204</v>
      </c>
    </row>
    <row r="170" spans="1:22">
      <c r="A170" s="158" t="s">
        <v>55</v>
      </c>
      <c r="B170" s="159">
        <v>145</v>
      </c>
      <c r="C170" s="159">
        <v>62</v>
      </c>
      <c r="D170" s="159">
        <v>26.1</v>
      </c>
      <c r="E170" s="159">
        <v>15.9</v>
      </c>
      <c r="F170" s="159">
        <v>31.5</v>
      </c>
      <c r="G170" s="159">
        <v>31.5</v>
      </c>
      <c r="H170" s="160">
        <f t="shared" si="6"/>
        <v>31.5</v>
      </c>
      <c r="I170" s="159">
        <v>3.1</v>
      </c>
      <c r="J170" s="159">
        <v>1.27</v>
      </c>
      <c r="K170" s="159">
        <v>3.16</v>
      </c>
      <c r="L170" s="159">
        <v>4.29</v>
      </c>
      <c r="M170" s="160">
        <f t="shared" si="7"/>
        <v>5.91</v>
      </c>
      <c r="N170" s="159">
        <v>10.199999999999999</v>
      </c>
      <c r="O170" s="160">
        <f t="shared" si="8"/>
        <v>279.84743000999998</v>
      </c>
      <c r="P170" s="159">
        <v>0.39079999999999998</v>
      </c>
      <c r="Q170" s="159">
        <v>3.4517799999999998</v>
      </c>
      <c r="R170" s="159">
        <v>0.82857000000000003</v>
      </c>
      <c r="S170" s="161">
        <v>27.432469999999999</v>
      </c>
      <c r="T170" s="162" t="s">
        <v>191</v>
      </c>
      <c r="U170" s="162" t="s">
        <v>203</v>
      </c>
      <c r="V170" s="163" t="s">
        <v>204</v>
      </c>
    </row>
    <row r="171" spans="1:22">
      <c r="A171" s="158" t="s">
        <v>55</v>
      </c>
      <c r="B171" s="159">
        <v>147</v>
      </c>
      <c r="C171" s="159">
        <v>62</v>
      </c>
      <c r="D171" s="159">
        <v>25.4</v>
      </c>
      <c r="E171" s="159">
        <v>9.5</v>
      </c>
      <c r="F171" s="159">
        <v>35.5</v>
      </c>
      <c r="G171" s="159">
        <v>33</v>
      </c>
      <c r="H171" s="160">
        <f t="shared" si="6"/>
        <v>34.25</v>
      </c>
      <c r="I171" s="159">
        <v>2.06</v>
      </c>
      <c r="J171" s="159">
        <v>5.19</v>
      </c>
      <c r="K171" s="159">
        <v>3.01</v>
      </c>
      <c r="L171" s="159">
        <v>2.81</v>
      </c>
      <c r="M171" s="160">
        <f t="shared" si="7"/>
        <v>6.5350000000000001</v>
      </c>
      <c r="N171" s="159">
        <v>15.9</v>
      </c>
      <c r="O171" s="160">
        <f t="shared" si="8"/>
        <v>533.37726182624999</v>
      </c>
      <c r="P171" s="159">
        <v>0.62597999999999998</v>
      </c>
      <c r="Q171" s="159">
        <v>4.8661099999999999</v>
      </c>
      <c r="R171" s="159">
        <v>0.74160999999999999</v>
      </c>
      <c r="S171" s="161">
        <v>33.54139</v>
      </c>
      <c r="T171" s="162" t="s">
        <v>191</v>
      </c>
      <c r="U171" s="162" t="s">
        <v>203</v>
      </c>
      <c r="V171" s="163" t="s">
        <v>204</v>
      </c>
    </row>
    <row r="172" spans="1:22">
      <c r="A172" s="158" t="s">
        <v>55</v>
      </c>
      <c r="B172" s="159">
        <v>149</v>
      </c>
      <c r="C172" s="159">
        <v>62</v>
      </c>
      <c r="D172" s="159">
        <v>26.7</v>
      </c>
      <c r="E172" s="159">
        <v>13.4</v>
      </c>
      <c r="F172" s="159">
        <v>32</v>
      </c>
      <c r="G172" s="159">
        <v>34</v>
      </c>
      <c r="H172" s="160">
        <f t="shared" si="6"/>
        <v>33</v>
      </c>
      <c r="I172" s="159">
        <v>3.73</v>
      </c>
      <c r="J172" s="159">
        <v>4.66</v>
      </c>
      <c r="K172" s="159">
        <v>3.31</v>
      </c>
      <c r="L172" s="159">
        <v>2.16</v>
      </c>
      <c r="M172" s="160">
        <f t="shared" si="7"/>
        <v>6.9300000000000006</v>
      </c>
      <c r="N172" s="159">
        <v>13.3</v>
      </c>
      <c r="O172" s="160">
        <f t="shared" si="8"/>
        <v>501.72333403500011</v>
      </c>
      <c r="P172" s="159">
        <v>0.49813000000000002</v>
      </c>
      <c r="Q172" s="159">
        <v>3.8383799999999999</v>
      </c>
      <c r="R172" s="159">
        <v>0.80908999999999998</v>
      </c>
      <c r="S172" s="161">
        <v>37.718670000000003</v>
      </c>
      <c r="T172" s="162" t="s">
        <v>191</v>
      </c>
      <c r="U172" s="162" t="s">
        <v>203</v>
      </c>
      <c r="V172" s="163" t="s">
        <v>204</v>
      </c>
    </row>
    <row r="173" spans="1:22">
      <c r="A173" s="158" t="s">
        <v>55</v>
      </c>
      <c r="B173" s="159">
        <v>151</v>
      </c>
      <c r="C173" s="159">
        <v>62</v>
      </c>
      <c r="D173" s="159">
        <v>27.8</v>
      </c>
      <c r="E173" s="159">
        <v>18.399999999999999</v>
      </c>
      <c r="F173" s="159">
        <v>28</v>
      </c>
      <c r="G173" s="159">
        <v>29</v>
      </c>
      <c r="H173" s="160">
        <f t="shared" si="6"/>
        <v>28.5</v>
      </c>
      <c r="I173" s="159">
        <v>1.77</v>
      </c>
      <c r="J173" s="159">
        <v>6.47</v>
      </c>
      <c r="K173" s="159">
        <v>2.19</v>
      </c>
      <c r="L173" s="159">
        <v>1.86</v>
      </c>
      <c r="M173" s="160">
        <f t="shared" si="7"/>
        <v>6.1449999999999996</v>
      </c>
      <c r="N173" s="159">
        <v>9.4</v>
      </c>
      <c r="O173" s="160">
        <f t="shared" si="8"/>
        <v>278.81608029249998</v>
      </c>
      <c r="P173" s="159">
        <v>0.33812999999999999</v>
      </c>
      <c r="Q173" s="159">
        <v>3.0594000000000001</v>
      </c>
      <c r="R173" s="159">
        <v>0.97543999999999997</v>
      </c>
      <c r="S173" s="161">
        <v>29.657440000000001</v>
      </c>
      <c r="T173" s="162" t="s">
        <v>191</v>
      </c>
      <c r="U173" s="162" t="s">
        <v>203</v>
      </c>
      <c r="V173" s="163" t="s">
        <v>204</v>
      </c>
    </row>
    <row r="174" spans="1:22">
      <c r="A174" s="158" t="s">
        <v>55</v>
      </c>
      <c r="B174" s="159">
        <v>153</v>
      </c>
      <c r="C174" s="159">
        <v>62</v>
      </c>
      <c r="D174" s="159">
        <v>24.9</v>
      </c>
      <c r="E174" s="159">
        <v>12.9</v>
      </c>
      <c r="F174" s="159">
        <v>25.5</v>
      </c>
      <c r="G174" s="159">
        <v>25</v>
      </c>
      <c r="H174" s="160">
        <f t="shared" si="6"/>
        <v>25.25</v>
      </c>
      <c r="I174" s="159">
        <v>3.03</v>
      </c>
      <c r="J174" s="159">
        <v>2.2000000000000002</v>
      </c>
      <c r="K174" s="159">
        <v>2.04</v>
      </c>
      <c r="L174" s="159">
        <v>3.32</v>
      </c>
      <c r="M174" s="160">
        <f t="shared" si="7"/>
        <v>5.2949999999999999</v>
      </c>
      <c r="N174" s="159">
        <v>12</v>
      </c>
      <c r="O174" s="160">
        <f t="shared" si="8"/>
        <v>264.27699765</v>
      </c>
      <c r="P174" s="159">
        <v>0.48193000000000003</v>
      </c>
      <c r="Q174" s="159">
        <v>4.5325800000000003</v>
      </c>
      <c r="R174" s="159">
        <v>0.98614000000000002</v>
      </c>
      <c r="S174" s="161">
        <v>22.020230000000002</v>
      </c>
      <c r="T174" s="162" t="s">
        <v>191</v>
      </c>
      <c r="U174" s="162" t="s">
        <v>203</v>
      </c>
      <c r="V174" s="163" t="s">
        <v>204</v>
      </c>
    </row>
    <row r="175" spans="1:22">
      <c r="A175" s="158" t="s">
        <v>55</v>
      </c>
      <c r="B175" s="159">
        <v>155</v>
      </c>
      <c r="C175" s="159">
        <v>62</v>
      </c>
      <c r="D175" s="159">
        <v>25</v>
      </c>
      <c r="E175" s="159">
        <v>15.3</v>
      </c>
      <c r="F175" s="159">
        <v>26.5</v>
      </c>
      <c r="G175" s="159">
        <v>26</v>
      </c>
      <c r="H175" s="160">
        <f t="shared" si="6"/>
        <v>26.25</v>
      </c>
      <c r="I175" s="159">
        <v>1.95</v>
      </c>
      <c r="J175" s="159">
        <v>3.48</v>
      </c>
      <c r="K175" s="159">
        <v>2.29</v>
      </c>
      <c r="L175" s="159">
        <v>2.34</v>
      </c>
      <c r="M175" s="160">
        <f t="shared" si="7"/>
        <v>5.0299999999999994</v>
      </c>
      <c r="N175" s="159">
        <v>9.6999999999999993</v>
      </c>
      <c r="O175" s="160">
        <f t="shared" si="8"/>
        <v>192.77641241499995</v>
      </c>
      <c r="P175" s="159">
        <v>0.38800000000000001</v>
      </c>
      <c r="Q175" s="159">
        <v>3.8568600000000002</v>
      </c>
      <c r="R175" s="159">
        <v>0.95238</v>
      </c>
      <c r="S175" s="161">
        <v>19.871279999999999</v>
      </c>
      <c r="T175" s="162" t="s">
        <v>191</v>
      </c>
      <c r="U175" s="162" t="s">
        <v>203</v>
      </c>
      <c r="V175" s="163" t="s">
        <v>204</v>
      </c>
    </row>
    <row r="176" spans="1:22">
      <c r="A176" s="158" t="s">
        <v>55</v>
      </c>
      <c r="B176" s="159">
        <v>157</v>
      </c>
      <c r="C176" s="159">
        <v>62</v>
      </c>
      <c r="D176" s="159">
        <v>22.4</v>
      </c>
      <c r="E176" s="159">
        <v>17</v>
      </c>
      <c r="F176" s="159">
        <v>29.5</v>
      </c>
      <c r="G176" s="159">
        <v>30</v>
      </c>
      <c r="H176" s="160">
        <f t="shared" si="6"/>
        <v>29.75</v>
      </c>
      <c r="I176" s="159">
        <v>2.0099999999999998</v>
      </c>
      <c r="J176" s="159">
        <v>2.71</v>
      </c>
      <c r="K176" s="159">
        <v>3.12</v>
      </c>
      <c r="L176" s="159">
        <v>1.82</v>
      </c>
      <c r="M176" s="160">
        <f t="shared" si="7"/>
        <v>4.83</v>
      </c>
      <c r="N176" s="159">
        <v>5.4</v>
      </c>
      <c r="O176" s="160">
        <f t="shared" si="8"/>
        <v>98.954195130000016</v>
      </c>
      <c r="P176" s="159">
        <v>0.24107000000000001</v>
      </c>
      <c r="Q176" s="159">
        <v>2.2360199999999999</v>
      </c>
      <c r="R176" s="159">
        <v>0.75294000000000005</v>
      </c>
      <c r="S176" s="161">
        <v>18.322479999999999</v>
      </c>
      <c r="T176" s="162" t="s">
        <v>191</v>
      </c>
      <c r="U176" s="162" t="s">
        <v>203</v>
      </c>
      <c r="V176" s="163" t="s">
        <v>204</v>
      </c>
    </row>
    <row r="177" spans="1:22">
      <c r="A177" s="158" t="s">
        <v>55</v>
      </c>
      <c r="B177" s="159">
        <v>159</v>
      </c>
      <c r="C177" s="159">
        <v>62</v>
      </c>
      <c r="D177" s="159">
        <v>23.5</v>
      </c>
      <c r="E177" s="159">
        <v>15</v>
      </c>
      <c r="F177" s="159">
        <v>26</v>
      </c>
      <c r="G177" s="159">
        <v>27</v>
      </c>
      <c r="H177" s="160">
        <f t="shared" si="6"/>
        <v>26.5</v>
      </c>
      <c r="I177" s="159">
        <v>1.63</v>
      </c>
      <c r="J177" s="159">
        <v>2.84</v>
      </c>
      <c r="K177" s="159">
        <v>2.21</v>
      </c>
      <c r="L177" s="159">
        <v>1.45</v>
      </c>
      <c r="M177" s="160">
        <f t="shared" si="7"/>
        <v>4.0649999999999995</v>
      </c>
      <c r="N177" s="159">
        <v>8.5</v>
      </c>
      <c r="O177" s="160">
        <f t="shared" si="8"/>
        <v>110.32811926874999</v>
      </c>
      <c r="P177" s="159">
        <v>0.36170000000000002</v>
      </c>
      <c r="Q177" s="159">
        <v>4.1820399999999998</v>
      </c>
      <c r="R177" s="159">
        <v>0.88678999999999997</v>
      </c>
      <c r="S177" s="161">
        <v>12.9781</v>
      </c>
      <c r="T177" s="162" t="s">
        <v>191</v>
      </c>
      <c r="U177" s="162" t="s">
        <v>203</v>
      </c>
      <c r="V177" s="163" t="s">
        <v>204</v>
      </c>
    </row>
    <row r="178" spans="1:22">
      <c r="A178" s="158" t="s">
        <v>55</v>
      </c>
      <c r="B178" s="159">
        <v>173</v>
      </c>
      <c r="C178" s="159">
        <v>75</v>
      </c>
      <c r="D178" s="159">
        <v>25.1</v>
      </c>
      <c r="E178" s="159">
        <v>15.9</v>
      </c>
      <c r="F178" s="159">
        <v>31.5</v>
      </c>
      <c r="G178" s="159">
        <v>30</v>
      </c>
      <c r="H178" s="160">
        <f t="shared" si="6"/>
        <v>30.75</v>
      </c>
      <c r="I178" s="159">
        <v>2.44</v>
      </c>
      <c r="J178" s="159">
        <v>3.99</v>
      </c>
      <c r="K178" s="159">
        <v>2.16</v>
      </c>
      <c r="L178" s="159">
        <v>1.1200000000000001</v>
      </c>
      <c r="M178" s="160">
        <f t="shared" si="7"/>
        <v>4.8550000000000004</v>
      </c>
      <c r="N178" s="159">
        <v>9.1999999999999993</v>
      </c>
      <c r="O178" s="160">
        <f t="shared" si="8"/>
        <v>170.33836926500004</v>
      </c>
      <c r="P178" s="159">
        <v>0.36653000000000002</v>
      </c>
      <c r="Q178" s="159">
        <v>3.7899099999999999</v>
      </c>
      <c r="R178" s="159">
        <v>0.81625999999999999</v>
      </c>
      <c r="S178" s="161">
        <v>18.512599999999999</v>
      </c>
      <c r="T178" s="162" t="s">
        <v>191</v>
      </c>
      <c r="U178" s="162" t="s">
        <v>203</v>
      </c>
      <c r="V178" s="162" t="s">
        <v>205</v>
      </c>
    </row>
    <row r="179" spans="1:22">
      <c r="A179" s="158" t="s">
        <v>55</v>
      </c>
      <c r="B179" s="159">
        <v>175</v>
      </c>
      <c r="C179" s="159">
        <v>75</v>
      </c>
      <c r="D179" s="159">
        <v>24.1</v>
      </c>
      <c r="E179" s="159">
        <v>14</v>
      </c>
      <c r="F179" s="159">
        <v>38.5</v>
      </c>
      <c r="G179" s="159">
        <v>39.5</v>
      </c>
      <c r="H179" s="160">
        <f t="shared" si="6"/>
        <v>39</v>
      </c>
      <c r="I179" s="159">
        <v>2.27</v>
      </c>
      <c r="J179" s="159">
        <v>4.8099999999999996</v>
      </c>
      <c r="K179" s="159">
        <v>3.51</v>
      </c>
      <c r="L179" s="159">
        <v>1.85</v>
      </c>
      <c r="M179" s="160">
        <f t="shared" si="7"/>
        <v>6.22</v>
      </c>
      <c r="N179" s="159">
        <v>10.1</v>
      </c>
      <c r="O179" s="160">
        <f t="shared" si="8"/>
        <v>306.9363558199999</v>
      </c>
      <c r="P179" s="159">
        <v>0.41909000000000002</v>
      </c>
      <c r="Q179" s="159">
        <v>3.2475900000000002</v>
      </c>
      <c r="R179" s="159">
        <v>0.61795</v>
      </c>
      <c r="S179" s="161">
        <v>30.3858</v>
      </c>
      <c r="T179" s="162" t="s">
        <v>191</v>
      </c>
      <c r="U179" s="162" t="s">
        <v>203</v>
      </c>
      <c r="V179" s="162" t="s">
        <v>205</v>
      </c>
    </row>
    <row r="180" spans="1:22">
      <c r="A180" s="158" t="s">
        <v>55</v>
      </c>
      <c r="B180" s="158">
        <v>177</v>
      </c>
      <c r="C180" s="158">
        <v>75</v>
      </c>
      <c r="D180" s="159">
        <v>24.9</v>
      </c>
      <c r="E180" s="159">
        <v>16.399999999999999</v>
      </c>
      <c r="F180" s="159">
        <v>23</v>
      </c>
      <c r="G180" s="159">
        <v>21</v>
      </c>
      <c r="H180" s="160">
        <f t="shared" si="6"/>
        <v>22</v>
      </c>
      <c r="I180" s="159">
        <v>0.59</v>
      </c>
      <c r="J180" s="159">
        <v>1.08</v>
      </c>
      <c r="K180" s="159">
        <v>2</v>
      </c>
      <c r="L180" s="159">
        <v>1.36</v>
      </c>
      <c r="M180" s="160">
        <f t="shared" si="7"/>
        <v>2.5150000000000001</v>
      </c>
      <c r="N180" s="159">
        <v>8.5</v>
      </c>
      <c r="O180" s="160">
        <f t="shared" si="8"/>
        <v>42.231946018750001</v>
      </c>
      <c r="P180" s="159">
        <v>0.34137000000000001</v>
      </c>
      <c r="Q180" s="159">
        <v>6.7594399999999997</v>
      </c>
      <c r="R180" s="159">
        <v>1.13182</v>
      </c>
      <c r="S180" s="161">
        <v>4.9678199999999997</v>
      </c>
      <c r="T180" s="162" t="s">
        <v>191</v>
      </c>
      <c r="U180" s="162" t="s">
        <v>203</v>
      </c>
      <c r="V180" s="162" t="s">
        <v>205</v>
      </c>
    </row>
    <row r="181" spans="1:22">
      <c r="A181" s="158" t="s">
        <v>55</v>
      </c>
      <c r="B181" s="158">
        <v>179</v>
      </c>
      <c r="C181" s="158">
        <v>75</v>
      </c>
      <c r="D181" s="159">
        <v>27.5</v>
      </c>
      <c r="E181" s="159">
        <v>19.600000000000001</v>
      </c>
      <c r="F181" s="159">
        <v>29.5</v>
      </c>
      <c r="G181" s="159">
        <v>32</v>
      </c>
      <c r="H181" s="160">
        <f t="shared" si="6"/>
        <v>30.75</v>
      </c>
      <c r="I181" s="159">
        <v>0.82</v>
      </c>
      <c r="J181" s="159">
        <v>1.75</v>
      </c>
      <c r="K181" s="159">
        <v>2.94</v>
      </c>
      <c r="L181" s="159">
        <v>2.13</v>
      </c>
      <c r="M181" s="160">
        <f t="shared" si="7"/>
        <v>3.82</v>
      </c>
      <c r="N181" s="159">
        <v>7.9</v>
      </c>
      <c r="O181" s="160">
        <f t="shared" si="8"/>
        <v>90.552408579999991</v>
      </c>
      <c r="P181" s="159">
        <v>0.28727000000000003</v>
      </c>
      <c r="Q181" s="159">
        <v>4.1361299999999996</v>
      </c>
      <c r="R181" s="159">
        <v>0.89431000000000005</v>
      </c>
      <c r="S181" s="161">
        <v>11.460800000000001</v>
      </c>
      <c r="T181" s="162" t="s">
        <v>191</v>
      </c>
      <c r="U181" s="162" t="s">
        <v>203</v>
      </c>
      <c r="V181" s="162" t="s">
        <v>205</v>
      </c>
    </row>
    <row r="182" spans="1:22">
      <c r="A182" s="158" t="s">
        <v>55</v>
      </c>
      <c r="B182" s="158">
        <v>181</v>
      </c>
      <c r="C182" s="158">
        <v>75</v>
      </c>
      <c r="D182" s="159">
        <v>30.8</v>
      </c>
      <c r="E182" s="159">
        <v>17.5</v>
      </c>
      <c r="F182" s="159">
        <v>50.5</v>
      </c>
      <c r="G182" s="159">
        <v>49.5</v>
      </c>
      <c r="H182" s="160">
        <f t="shared" si="6"/>
        <v>50</v>
      </c>
      <c r="I182" s="159">
        <v>2.88</v>
      </c>
      <c r="J182" s="159">
        <v>4</v>
      </c>
      <c r="K182" s="159">
        <v>3.54</v>
      </c>
      <c r="L182" s="159">
        <v>7.24</v>
      </c>
      <c r="M182" s="160">
        <f t="shared" si="7"/>
        <v>8.83</v>
      </c>
      <c r="N182" s="159">
        <v>13.3</v>
      </c>
      <c r="O182" s="160">
        <f t="shared" si="8"/>
        <v>814.55279363500006</v>
      </c>
      <c r="P182" s="159">
        <v>0.43181999999999998</v>
      </c>
      <c r="Q182" s="159">
        <v>3.0124599999999999</v>
      </c>
      <c r="R182" s="159">
        <v>0.61599999999999999</v>
      </c>
      <c r="S182" s="161">
        <v>61.236600000000003</v>
      </c>
      <c r="T182" s="162" t="s">
        <v>191</v>
      </c>
      <c r="U182" s="162" t="s">
        <v>203</v>
      </c>
      <c r="V182" s="162" t="s">
        <v>205</v>
      </c>
    </row>
    <row r="183" spans="1:22">
      <c r="A183" s="158" t="s">
        <v>55</v>
      </c>
      <c r="B183" s="158">
        <v>183</v>
      </c>
      <c r="C183" s="158">
        <v>75</v>
      </c>
      <c r="D183" s="159">
        <v>29.6</v>
      </c>
      <c r="E183" s="159">
        <v>18.5</v>
      </c>
      <c r="F183" s="159">
        <v>34.5</v>
      </c>
      <c r="G183" s="159">
        <v>33.5</v>
      </c>
      <c r="H183" s="160">
        <f t="shared" si="6"/>
        <v>34</v>
      </c>
      <c r="I183" s="159">
        <v>0</v>
      </c>
      <c r="J183" s="159">
        <v>3.89</v>
      </c>
      <c r="K183" s="159">
        <v>3.92</v>
      </c>
      <c r="L183" s="159">
        <v>1.52</v>
      </c>
      <c r="M183" s="160">
        <f t="shared" si="7"/>
        <v>4.665</v>
      </c>
      <c r="N183" s="159">
        <v>11.1</v>
      </c>
      <c r="O183" s="160">
        <f t="shared" si="8"/>
        <v>189.74592788624997</v>
      </c>
      <c r="P183" s="159">
        <v>0.375</v>
      </c>
      <c r="Q183" s="159">
        <v>4.7588400000000002</v>
      </c>
      <c r="R183" s="159">
        <v>0.87058999999999997</v>
      </c>
      <c r="S183" s="161">
        <v>17.091999999999999</v>
      </c>
      <c r="T183" s="162" t="s">
        <v>191</v>
      </c>
      <c r="U183" s="162" t="s">
        <v>203</v>
      </c>
      <c r="V183" s="162" t="s">
        <v>205</v>
      </c>
    </row>
    <row r="184" spans="1:22">
      <c r="A184" s="158" t="s">
        <v>55</v>
      </c>
      <c r="B184" s="158">
        <v>185</v>
      </c>
      <c r="C184" s="158">
        <v>75</v>
      </c>
      <c r="D184" s="159">
        <v>27.4</v>
      </c>
      <c r="E184" s="159">
        <v>22.4</v>
      </c>
      <c r="F184" s="159">
        <v>37.5</v>
      </c>
      <c r="G184" s="159">
        <v>38</v>
      </c>
      <c r="H184" s="160">
        <f t="shared" si="6"/>
        <v>37.75</v>
      </c>
      <c r="I184" s="159">
        <v>1.34</v>
      </c>
      <c r="J184" s="159">
        <v>2.0699999999999998</v>
      </c>
      <c r="K184" s="159">
        <v>3.03</v>
      </c>
      <c r="L184" s="159">
        <v>1.42</v>
      </c>
      <c r="M184" s="160">
        <f t="shared" si="7"/>
        <v>3.9299999999999997</v>
      </c>
      <c r="N184" s="159">
        <v>5</v>
      </c>
      <c r="O184" s="160">
        <f t="shared" si="8"/>
        <v>60.659844749999991</v>
      </c>
      <c r="P184" s="159">
        <v>0.18248</v>
      </c>
      <c r="Q184" s="159">
        <v>2.54453</v>
      </c>
      <c r="R184" s="159">
        <v>0.72582999999999998</v>
      </c>
      <c r="S184" s="161">
        <v>12.1304</v>
      </c>
      <c r="T184" s="162" t="s">
        <v>191</v>
      </c>
      <c r="U184" s="162" t="s">
        <v>203</v>
      </c>
      <c r="V184" s="162" t="s">
        <v>205</v>
      </c>
    </row>
    <row r="185" spans="1:22">
      <c r="A185" s="158" t="s">
        <v>55</v>
      </c>
      <c r="B185" s="158">
        <v>187</v>
      </c>
      <c r="C185" s="158">
        <v>75</v>
      </c>
      <c r="D185" s="159">
        <v>27.4</v>
      </c>
      <c r="E185" s="159">
        <v>19</v>
      </c>
      <c r="F185" s="159">
        <v>33.5</v>
      </c>
      <c r="G185" s="159">
        <v>32</v>
      </c>
      <c r="H185" s="160">
        <f t="shared" si="6"/>
        <v>32.75</v>
      </c>
      <c r="I185" s="159">
        <v>1.42</v>
      </c>
      <c r="J185" s="159">
        <v>2.38</v>
      </c>
      <c r="K185" s="159">
        <v>2.06</v>
      </c>
      <c r="L185" s="159">
        <v>1.81</v>
      </c>
      <c r="M185" s="160">
        <f t="shared" si="7"/>
        <v>3.835</v>
      </c>
      <c r="N185" s="159">
        <v>8.4</v>
      </c>
      <c r="O185" s="160">
        <f t="shared" si="8"/>
        <v>97.041211994999998</v>
      </c>
      <c r="P185" s="159">
        <v>0.30657000000000001</v>
      </c>
      <c r="Q185" s="159">
        <v>4.3807</v>
      </c>
      <c r="R185" s="159">
        <v>0.83664000000000005</v>
      </c>
      <c r="S185" s="161">
        <v>11.551</v>
      </c>
      <c r="T185" s="162" t="s">
        <v>191</v>
      </c>
      <c r="U185" s="162" t="s">
        <v>203</v>
      </c>
      <c r="V185" s="162" t="s">
        <v>205</v>
      </c>
    </row>
    <row r="186" spans="1:22">
      <c r="A186" s="158" t="s">
        <v>55</v>
      </c>
      <c r="B186" s="158">
        <v>189</v>
      </c>
      <c r="C186" s="158">
        <v>75</v>
      </c>
      <c r="D186" s="159">
        <v>22.8</v>
      </c>
      <c r="E186" s="159">
        <v>12.1</v>
      </c>
      <c r="F186" s="159">
        <v>34</v>
      </c>
      <c r="G186" s="159">
        <v>36</v>
      </c>
      <c r="H186" s="160">
        <f t="shared" si="6"/>
        <v>35</v>
      </c>
      <c r="I186" s="159">
        <v>1.95</v>
      </c>
      <c r="J186" s="159">
        <v>2.0099999999999998</v>
      </c>
      <c r="K186" s="159">
        <v>3.16</v>
      </c>
      <c r="L186" s="159">
        <v>3.75</v>
      </c>
      <c r="M186" s="160">
        <f t="shared" si="7"/>
        <v>5.4350000000000005</v>
      </c>
      <c r="N186" s="159">
        <v>10.7</v>
      </c>
      <c r="O186" s="160">
        <f t="shared" si="8"/>
        <v>248.27275524125</v>
      </c>
      <c r="P186" s="159">
        <v>0.46929999999999999</v>
      </c>
      <c r="Q186" s="159">
        <v>3.9374400000000001</v>
      </c>
      <c r="R186" s="159">
        <v>0.65142999999999995</v>
      </c>
      <c r="S186" s="161">
        <v>23.200099999999999</v>
      </c>
      <c r="T186" s="162" t="s">
        <v>191</v>
      </c>
      <c r="U186" s="162" t="s">
        <v>203</v>
      </c>
      <c r="V186" s="162" t="s">
        <v>205</v>
      </c>
    </row>
    <row r="187" spans="1:22">
      <c r="A187" s="158" t="s">
        <v>55</v>
      </c>
      <c r="B187" s="158">
        <v>191</v>
      </c>
      <c r="C187" s="158">
        <v>75</v>
      </c>
      <c r="D187" s="159">
        <v>32.200000000000003</v>
      </c>
      <c r="E187" s="159">
        <v>20.100000000000001</v>
      </c>
      <c r="F187" s="159">
        <v>42</v>
      </c>
      <c r="G187" s="159">
        <v>43</v>
      </c>
      <c r="H187" s="160">
        <f t="shared" si="6"/>
        <v>42.5</v>
      </c>
      <c r="I187" s="159">
        <v>1.63</v>
      </c>
      <c r="J187" s="159">
        <v>2.2799999999999998</v>
      </c>
      <c r="K187" s="159">
        <v>3.32</v>
      </c>
      <c r="L187" s="159">
        <v>4.22</v>
      </c>
      <c r="M187" s="160">
        <f t="shared" si="7"/>
        <v>5.7249999999999996</v>
      </c>
      <c r="N187" s="159">
        <v>12.1</v>
      </c>
      <c r="O187" s="160">
        <f t="shared" si="8"/>
        <v>311.51756659374996</v>
      </c>
      <c r="P187" s="159">
        <v>0.37578</v>
      </c>
      <c r="Q187" s="159">
        <v>4.2270700000000003</v>
      </c>
      <c r="R187" s="159">
        <v>0.75765000000000005</v>
      </c>
      <c r="S187" s="161">
        <v>25.741900000000001</v>
      </c>
      <c r="T187" s="162" t="s">
        <v>191</v>
      </c>
      <c r="U187" s="162" t="s">
        <v>203</v>
      </c>
      <c r="V187" s="162" t="s">
        <v>205</v>
      </c>
    </row>
    <row r="188" spans="1:22">
      <c r="A188" s="158" t="s">
        <v>55</v>
      </c>
      <c r="B188" s="158">
        <v>193</v>
      </c>
      <c r="C188" s="158">
        <v>77</v>
      </c>
      <c r="D188" s="159">
        <v>24.2</v>
      </c>
      <c r="E188" s="159">
        <v>12.24</v>
      </c>
      <c r="F188" s="159">
        <v>37.5</v>
      </c>
      <c r="G188" s="159">
        <v>39</v>
      </c>
      <c r="H188" s="160">
        <f t="shared" si="6"/>
        <v>38.25</v>
      </c>
      <c r="I188" s="159">
        <v>1.32</v>
      </c>
      <c r="J188" s="159">
        <v>3.69</v>
      </c>
      <c r="K188" s="159">
        <v>5.14</v>
      </c>
      <c r="L188" s="159">
        <v>3.69</v>
      </c>
      <c r="M188" s="160">
        <f t="shared" si="7"/>
        <v>6.919999999999999</v>
      </c>
      <c r="N188" s="159">
        <v>11.96</v>
      </c>
      <c r="O188" s="160">
        <f t="shared" si="8"/>
        <v>449.87261571199991</v>
      </c>
      <c r="P188" s="159">
        <v>0.49420999999999998</v>
      </c>
      <c r="Q188" s="159">
        <v>3.4566499999999998</v>
      </c>
      <c r="R188" s="159">
        <v>0.63268000000000002</v>
      </c>
      <c r="S188" s="161">
        <v>37.60989</v>
      </c>
      <c r="T188" s="162" t="s">
        <v>191</v>
      </c>
      <c r="U188" s="162" t="s">
        <v>206</v>
      </c>
      <c r="V188" s="163" t="s">
        <v>207</v>
      </c>
    </row>
    <row r="189" spans="1:22">
      <c r="A189" s="158" t="s">
        <v>55</v>
      </c>
      <c r="B189" s="158">
        <v>195</v>
      </c>
      <c r="C189" s="158">
        <v>77</v>
      </c>
      <c r="D189" s="159">
        <v>24.81</v>
      </c>
      <c r="E189" s="159">
        <v>18.239999999999998</v>
      </c>
      <c r="F189" s="159">
        <v>35</v>
      </c>
      <c r="G189" s="159">
        <v>37</v>
      </c>
      <c r="H189" s="160">
        <f t="shared" si="6"/>
        <v>36</v>
      </c>
      <c r="I189" s="159">
        <v>1.39</v>
      </c>
      <c r="J189" s="159">
        <v>2.67</v>
      </c>
      <c r="K189" s="159">
        <v>2.0499999999999998</v>
      </c>
      <c r="L189" s="159">
        <v>2.93</v>
      </c>
      <c r="M189" s="160">
        <f t="shared" si="7"/>
        <v>4.5199999999999996</v>
      </c>
      <c r="N189" s="159">
        <v>6.57</v>
      </c>
      <c r="O189" s="160">
        <f t="shared" si="8"/>
        <v>105.43588034399998</v>
      </c>
      <c r="P189" s="159">
        <v>0.26480999999999999</v>
      </c>
      <c r="Q189" s="159">
        <v>2.9070800000000001</v>
      </c>
      <c r="R189" s="159">
        <v>0.68916999999999995</v>
      </c>
      <c r="S189" s="161">
        <v>16.045999999999999</v>
      </c>
      <c r="T189" s="162" t="s">
        <v>191</v>
      </c>
      <c r="U189" s="162" t="s">
        <v>206</v>
      </c>
      <c r="V189" s="163" t="s">
        <v>207</v>
      </c>
    </row>
    <row r="190" spans="1:22">
      <c r="A190" s="158" t="s">
        <v>55</v>
      </c>
      <c r="B190" s="158">
        <v>197</v>
      </c>
      <c r="C190" s="158">
        <v>77</v>
      </c>
      <c r="D190" s="159">
        <v>25.73</v>
      </c>
      <c r="E190" s="159">
        <v>13.23</v>
      </c>
      <c r="F190" s="159">
        <v>35</v>
      </c>
      <c r="G190" s="159">
        <v>36</v>
      </c>
      <c r="H190" s="160">
        <f t="shared" si="6"/>
        <v>35.5</v>
      </c>
      <c r="I190" s="159">
        <v>2.08</v>
      </c>
      <c r="J190" s="159">
        <v>2.2000000000000002</v>
      </c>
      <c r="K190" s="159">
        <v>3.78</v>
      </c>
      <c r="L190" s="159">
        <v>4.28</v>
      </c>
      <c r="M190" s="160">
        <f t="shared" si="7"/>
        <v>6.17</v>
      </c>
      <c r="N190" s="159">
        <v>12.5</v>
      </c>
      <c r="O190" s="160">
        <f t="shared" si="8"/>
        <v>373.78901187499997</v>
      </c>
      <c r="P190" s="159">
        <v>0.48581000000000002</v>
      </c>
      <c r="Q190" s="159">
        <v>4.0518599999999996</v>
      </c>
      <c r="R190" s="159">
        <v>0.72479000000000005</v>
      </c>
      <c r="S190" s="161">
        <v>29.899239999999999</v>
      </c>
      <c r="T190" s="162" t="s">
        <v>191</v>
      </c>
      <c r="U190" s="162" t="s">
        <v>206</v>
      </c>
      <c r="V190" s="163" t="s">
        <v>207</v>
      </c>
    </row>
    <row r="191" spans="1:22">
      <c r="A191" s="158" t="s">
        <v>55</v>
      </c>
      <c r="B191" s="158">
        <v>199</v>
      </c>
      <c r="C191" s="158">
        <v>77</v>
      </c>
      <c r="D191" s="159">
        <v>26.66</v>
      </c>
      <c r="E191" s="159">
        <v>18.3</v>
      </c>
      <c r="F191" s="159">
        <v>45.5</v>
      </c>
      <c r="G191" s="159">
        <v>45.5</v>
      </c>
      <c r="H191" s="160">
        <f t="shared" si="6"/>
        <v>45.5</v>
      </c>
      <c r="I191" s="159">
        <v>1.03</v>
      </c>
      <c r="J191" s="159">
        <v>3.96</v>
      </c>
      <c r="K191" s="159">
        <v>4.68</v>
      </c>
      <c r="L191" s="159">
        <v>5.0199999999999996</v>
      </c>
      <c r="M191" s="160">
        <f t="shared" si="7"/>
        <v>7.3449999999999998</v>
      </c>
      <c r="N191" s="159">
        <v>8.36</v>
      </c>
      <c r="O191" s="160">
        <f t="shared" si="8"/>
        <v>354.27137838949994</v>
      </c>
      <c r="P191" s="159">
        <v>0.31358000000000003</v>
      </c>
      <c r="Q191" s="159">
        <v>2.2763800000000001</v>
      </c>
      <c r="R191" s="159">
        <v>0.58592999999999995</v>
      </c>
      <c r="S191" s="161">
        <v>42.371470000000002</v>
      </c>
      <c r="T191" s="162" t="s">
        <v>191</v>
      </c>
      <c r="U191" s="162" t="s">
        <v>206</v>
      </c>
      <c r="V191" s="163" t="s">
        <v>207</v>
      </c>
    </row>
    <row r="192" spans="1:22">
      <c r="A192" s="159" t="s">
        <v>55</v>
      </c>
      <c r="B192" s="159">
        <v>201</v>
      </c>
      <c r="C192" s="159">
        <v>77</v>
      </c>
      <c r="D192" s="159">
        <v>26.66</v>
      </c>
      <c r="E192" s="159">
        <v>17.39</v>
      </c>
      <c r="F192" s="159">
        <v>44.5</v>
      </c>
      <c r="G192" s="159">
        <v>45.5</v>
      </c>
      <c r="H192" s="160">
        <f t="shared" si="6"/>
        <v>45</v>
      </c>
      <c r="I192" s="159">
        <v>1.29</v>
      </c>
      <c r="J192" s="159">
        <v>3.55</v>
      </c>
      <c r="K192" s="159">
        <v>4.5199999999999996</v>
      </c>
      <c r="L192" s="159">
        <v>3.33</v>
      </c>
      <c r="M192" s="160">
        <f t="shared" si="7"/>
        <v>6.3449999999999998</v>
      </c>
      <c r="N192" s="159">
        <v>9.27</v>
      </c>
      <c r="O192" s="160">
        <f t="shared" si="8"/>
        <v>293.14951255462495</v>
      </c>
      <c r="P192" s="159">
        <v>0.34771000000000002</v>
      </c>
      <c r="Q192" s="159">
        <v>2.9219900000000001</v>
      </c>
      <c r="R192" s="159">
        <v>0.59243999999999997</v>
      </c>
      <c r="S192" s="161">
        <v>31.61936</v>
      </c>
      <c r="T192" s="162" t="s">
        <v>191</v>
      </c>
      <c r="U192" s="162" t="s">
        <v>206</v>
      </c>
      <c r="V192" s="163" t="s">
        <v>207</v>
      </c>
    </row>
    <row r="193" spans="1:22">
      <c r="A193" s="159" t="s">
        <v>55</v>
      </c>
      <c r="B193" s="159">
        <v>203</v>
      </c>
      <c r="C193" s="159">
        <v>77</v>
      </c>
      <c r="D193" s="159">
        <v>29.07</v>
      </c>
      <c r="E193" s="159">
        <v>17.329999999999998</v>
      </c>
      <c r="F193" s="159">
        <v>49</v>
      </c>
      <c r="G193" s="159">
        <v>49</v>
      </c>
      <c r="H193" s="160">
        <f t="shared" si="6"/>
        <v>49</v>
      </c>
      <c r="I193" s="159">
        <v>2.36</v>
      </c>
      <c r="J193" s="159">
        <v>4.8899999999999997</v>
      </c>
      <c r="K193" s="159">
        <v>2.56</v>
      </c>
      <c r="L193" s="159">
        <v>2.56</v>
      </c>
      <c r="M193" s="160">
        <f t="shared" si="7"/>
        <v>6.1850000000000005</v>
      </c>
      <c r="N193" s="159">
        <v>11.74</v>
      </c>
      <c r="O193" s="160">
        <f t="shared" si="8"/>
        <v>352.77166447825005</v>
      </c>
      <c r="P193" s="159">
        <v>0.40384999999999999</v>
      </c>
      <c r="Q193" s="159">
        <v>3.7962799999999999</v>
      </c>
      <c r="R193" s="159">
        <v>0.59326999999999996</v>
      </c>
      <c r="S193" s="161">
        <v>30.044799999999999</v>
      </c>
      <c r="T193" s="162" t="s">
        <v>191</v>
      </c>
      <c r="U193" s="162" t="s">
        <v>206</v>
      </c>
      <c r="V193" s="163" t="s">
        <v>207</v>
      </c>
    </row>
    <row r="194" spans="1:22">
      <c r="A194" s="159" t="s">
        <v>55</v>
      </c>
      <c r="B194" s="159">
        <v>205</v>
      </c>
      <c r="C194" s="159">
        <v>77</v>
      </c>
      <c r="D194" s="159">
        <v>27.16</v>
      </c>
      <c r="E194" s="159">
        <v>16.41</v>
      </c>
      <c r="F194" s="159">
        <v>37</v>
      </c>
      <c r="G194" s="159">
        <v>36.5</v>
      </c>
      <c r="H194" s="160">
        <f t="shared" si="6"/>
        <v>36.75</v>
      </c>
      <c r="I194" s="159">
        <v>2.72</v>
      </c>
      <c r="J194" s="159">
        <v>3.09</v>
      </c>
      <c r="K194" s="159">
        <v>3.12</v>
      </c>
      <c r="L194" s="159">
        <v>1.89</v>
      </c>
      <c r="M194" s="160">
        <f t="shared" si="7"/>
        <v>5.41</v>
      </c>
      <c r="N194" s="159">
        <v>10.75</v>
      </c>
      <c r="O194" s="160">
        <f t="shared" si="8"/>
        <v>247.14349491249999</v>
      </c>
      <c r="P194" s="159">
        <v>0.39579999999999999</v>
      </c>
      <c r="Q194" s="159">
        <v>3.9741200000000001</v>
      </c>
      <c r="R194" s="159">
        <v>0.73904999999999998</v>
      </c>
      <c r="S194" s="161">
        <v>22.987110000000001</v>
      </c>
      <c r="T194" s="162" t="s">
        <v>191</v>
      </c>
      <c r="U194" s="162" t="s">
        <v>206</v>
      </c>
      <c r="V194" s="163" t="s">
        <v>207</v>
      </c>
    </row>
    <row r="195" spans="1:22">
      <c r="A195" s="159" t="s">
        <v>55</v>
      </c>
      <c r="B195" s="159">
        <v>207</v>
      </c>
      <c r="C195" s="159">
        <v>77</v>
      </c>
      <c r="D195" s="159">
        <v>22.61</v>
      </c>
      <c r="E195" s="159">
        <v>14.46</v>
      </c>
      <c r="F195" s="159">
        <v>44.5</v>
      </c>
      <c r="G195" s="159">
        <v>48</v>
      </c>
      <c r="H195" s="160">
        <f t="shared" si="6"/>
        <v>46.25</v>
      </c>
      <c r="I195" s="159">
        <v>2.4</v>
      </c>
      <c r="J195" s="159">
        <v>4.2699999999999996</v>
      </c>
      <c r="K195" s="159">
        <v>2.69</v>
      </c>
      <c r="L195" s="159">
        <v>1.81</v>
      </c>
      <c r="M195" s="160">
        <f t="shared" si="7"/>
        <v>5.585</v>
      </c>
      <c r="N195" s="159">
        <v>8.15</v>
      </c>
      <c r="O195" s="160">
        <f t="shared" si="8"/>
        <v>199.68716581062503</v>
      </c>
      <c r="P195" s="159">
        <v>0.36046</v>
      </c>
      <c r="Q195" s="159">
        <v>2.9185300000000001</v>
      </c>
      <c r="R195" s="159">
        <v>0.48886000000000002</v>
      </c>
      <c r="S195" s="161">
        <v>24.49832</v>
      </c>
      <c r="T195" s="162" t="s">
        <v>191</v>
      </c>
      <c r="U195" s="162" t="s">
        <v>206</v>
      </c>
      <c r="V195" s="163" t="s">
        <v>207</v>
      </c>
    </row>
    <row r="196" spans="1:22">
      <c r="A196" s="159" t="s">
        <v>55</v>
      </c>
      <c r="B196" s="159">
        <v>161</v>
      </c>
      <c r="C196" s="159">
        <v>81</v>
      </c>
      <c r="D196" s="159">
        <v>20.47</v>
      </c>
      <c r="E196" s="159">
        <v>13.45</v>
      </c>
      <c r="F196" s="159">
        <v>23.5</v>
      </c>
      <c r="G196" s="159">
        <v>25</v>
      </c>
      <c r="H196" s="160">
        <f t="shared" ref="H196:H211" si="9">(F196+G196)/2</f>
        <v>24.25</v>
      </c>
      <c r="I196" s="159">
        <v>0.71</v>
      </c>
      <c r="J196" s="159">
        <v>2.06</v>
      </c>
      <c r="K196" s="159">
        <v>2.17</v>
      </c>
      <c r="L196" s="159">
        <v>1.91</v>
      </c>
      <c r="M196" s="160">
        <f t="shared" ref="M196:M211" si="10">SUM(I196:L196)/2</f>
        <v>3.4249999999999998</v>
      </c>
      <c r="N196" s="159">
        <v>7.02</v>
      </c>
      <c r="O196" s="160">
        <f t="shared" ref="O196:O211" si="11">3.142/4*M196^2*N196</f>
        <v>64.68512968124999</v>
      </c>
      <c r="P196" s="159">
        <v>0.34294000000000002</v>
      </c>
      <c r="Q196" s="159">
        <v>4.0992699999999997</v>
      </c>
      <c r="R196" s="159">
        <v>0.84411999999999998</v>
      </c>
      <c r="S196" s="161">
        <v>9.2132100000000001</v>
      </c>
      <c r="T196" s="162" t="s">
        <v>191</v>
      </c>
      <c r="U196" s="162" t="s">
        <v>99</v>
      </c>
      <c r="V196" s="163" t="s">
        <v>208</v>
      </c>
    </row>
    <row r="197" spans="1:22">
      <c r="A197" s="159" t="s">
        <v>55</v>
      </c>
      <c r="B197" s="159">
        <v>163</v>
      </c>
      <c r="C197" s="159">
        <v>81</v>
      </c>
      <c r="D197" s="159">
        <v>23.87</v>
      </c>
      <c r="E197" s="159">
        <v>17.07</v>
      </c>
      <c r="F197" s="159">
        <v>28.5</v>
      </c>
      <c r="G197" s="159">
        <v>27.5</v>
      </c>
      <c r="H197" s="160">
        <f t="shared" si="9"/>
        <v>28</v>
      </c>
      <c r="I197" s="159">
        <v>1.36</v>
      </c>
      <c r="J197" s="159">
        <v>3.46</v>
      </c>
      <c r="K197" s="159">
        <v>2.77</v>
      </c>
      <c r="L197" s="159">
        <v>2.76</v>
      </c>
      <c r="M197" s="160">
        <f t="shared" si="10"/>
        <v>5.1749999999999998</v>
      </c>
      <c r="N197" s="159">
        <v>6.8</v>
      </c>
      <c r="O197" s="160">
        <f t="shared" si="11"/>
        <v>143.04603037499996</v>
      </c>
      <c r="P197" s="159">
        <v>0.28488000000000002</v>
      </c>
      <c r="Q197" s="159">
        <v>2.6280199999999998</v>
      </c>
      <c r="R197" s="159">
        <v>0.85250000000000004</v>
      </c>
      <c r="S197" s="161">
        <v>21.0335</v>
      </c>
      <c r="T197" s="162" t="s">
        <v>191</v>
      </c>
      <c r="U197" s="162" t="s">
        <v>99</v>
      </c>
      <c r="V197" s="163" t="s">
        <v>208</v>
      </c>
    </row>
    <row r="198" spans="1:22">
      <c r="A198" s="159" t="s">
        <v>55</v>
      </c>
      <c r="B198" s="159">
        <v>167</v>
      </c>
      <c r="C198" s="159">
        <v>81</v>
      </c>
      <c r="D198" s="159">
        <v>16.57</v>
      </c>
      <c r="E198" s="159">
        <v>11.02</v>
      </c>
      <c r="F198" s="159">
        <v>21.5</v>
      </c>
      <c r="G198" s="159">
        <v>21</v>
      </c>
      <c r="H198" s="160">
        <f t="shared" si="9"/>
        <v>21.25</v>
      </c>
      <c r="I198" s="159">
        <v>0</v>
      </c>
      <c r="J198" s="159">
        <v>0.56999999999999995</v>
      </c>
      <c r="K198" s="159">
        <v>4.41</v>
      </c>
      <c r="L198" s="159">
        <v>3.01</v>
      </c>
      <c r="M198" s="160">
        <f t="shared" si="10"/>
        <v>3.9950000000000001</v>
      </c>
      <c r="N198" s="159">
        <v>5.55</v>
      </c>
      <c r="O198" s="160">
        <f t="shared" si="11"/>
        <v>69.578127988125004</v>
      </c>
      <c r="P198" s="159">
        <v>0.33494000000000002</v>
      </c>
      <c r="Q198" s="159">
        <v>2.77847</v>
      </c>
      <c r="R198" s="159">
        <v>0.77976000000000001</v>
      </c>
      <c r="S198" s="161">
        <v>12.535</v>
      </c>
      <c r="T198" s="162" t="s">
        <v>191</v>
      </c>
      <c r="U198" s="162" t="s">
        <v>99</v>
      </c>
      <c r="V198" s="163" t="s">
        <v>208</v>
      </c>
    </row>
    <row r="199" spans="1:22">
      <c r="A199" s="159" t="s">
        <v>55</v>
      </c>
      <c r="B199" s="159">
        <v>171</v>
      </c>
      <c r="C199" s="159">
        <v>81</v>
      </c>
      <c r="D199" s="159">
        <v>23.38</v>
      </c>
      <c r="E199" s="159">
        <v>17.93</v>
      </c>
      <c r="F199" s="159">
        <v>30.5</v>
      </c>
      <c r="G199" s="159">
        <v>31.5</v>
      </c>
      <c r="H199" s="160">
        <f t="shared" si="9"/>
        <v>31</v>
      </c>
      <c r="I199" s="159">
        <v>2.86</v>
      </c>
      <c r="J199" s="159">
        <v>3.64</v>
      </c>
      <c r="K199" s="159">
        <v>2.09</v>
      </c>
      <c r="L199" s="159">
        <v>3.71</v>
      </c>
      <c r="M199" s="160">
        <f t="shared" si="10"/>
        <v>6.15</v>
      </c>
      <c r="N199" s="159">
        <v>5.45</v>
      </c>
      <c r="O199" s="160">
        <f t="shared" si="11"/>
        <v>161.91717693750002</v>
      </c>
      <c r="P199" s="159">
        <v>0.23311000000000001</v>
      </c>
      <c r="Q199" s="159">
        <v>1.7723599999999999</v>
      </c>
      <c r="R199" s="159">
        <v>0.75419000000000003</v>
      </c>
      <c r="S199" s="161">
        <v>29.7057</v>
      </c>
      <c r="T199" s="162" t="s">
        <v>191</v>
      </c>
      <c r="U199" s="162" t="s">
        <v>99</v>
      </c>
      <c r="V199" s="163" t="s">
        <v>208</v>
      </c>
    </row>
    <row r="200" spans="1:22">
      <c r="A200" s="159" t="s">
        <v>55</v>
      </c>
      <c r="B200" s="159">
        <v>165</v>
      </c>
      <c r="C200" s="159">
        <v>81</v>
      </c>
      <c r="D200" s="159">
        <v>23.1</v>
      </c>
      <c r="E200" s="159">
        <v>12.73</v>
      </c>
      <c r="F200" s="159">
        <v>26.5</v>
      </c>
      <c r="G200" s="159">
        <v>24</v>
      </c>
      <c r="H200" s="160">
        <f t="shared" si="9"/>
        <v>25.25</v>
      </c>
      <c r="I200" s="159">
        <v>1.5</v>
      </c>
      <c r="J200" s="159">
        <v>1.92</v>
      </c>
      <c r="K200" s="159">
        <v>2.58</v>
      </c>
      <c r="L200" s="159">
        <v>2.1800000000000002</v>
      </c>
      <c r="M200" s="160">
        <f t="shared" si="10"/>
        <v>4.09</v>
      </c>
      <c r="N200" s="159">
        <v>10.4</v>
      </c>
      <c r="O200" s="160">
        <f t="shared" si="11"/>
        <v>136.65519451999998</v>
      </c>
      <c r="P200" s="159">
        <v>0.44891999999999999</v>
      </c>
      <c r="Q200" s="159">
        <v>5.0709</v>
      </c>
      <c r="R200" s="159">
        <v>0.91485000000000005</v>
      </c>
      <c r="S200" s="161">
        <v>13.138199999999999</v>
      </c>
      <c r="T200" s="162" t="s">
        <v>191</v>
      </c>
      <c r="U200" s="162" t="s">
        <v>99</v>
      </c>
      <c r="V200" s="163" t="s">
        <v>208</v>
      </c>
    </row>
    <row r="201" spans="1:22">
      <c r="A201" s="159" t="s">
        <v>55</v>
      </c>
      <c r="B201" s="159">
        <v>169</v>
      </c>
      <c r="C201" s="159">
        <v>81</v>
      </c>
      <c r="D201" s="159">
        <v>28.62</v>
      </c>
      <c r="E201" s="159">
        <v>19.260000000000002</v>
      </c>
      <c r="F201" s="159">
        <v>31.5</v>
      </c>
      <c r="G201" s="159">
        <v>31</v>
      </c>
      <c r="H201" s="160">
        <f t="shared" si="9"/>
        <v>31.25</v>
      </c>
      <c r="I201" s="159">
        <v>1.01</v>
      </c>
      <c r="J201" s="159">
        <v>2.74</v>
      </c>
      <c r="K201" s="159">
        <v>2.87</v>
      </c>
      <c r="L201" s="159">
        <v>1.85</v>
      </c>
      <c r="M201" s="160">
        <f t="shared" si="10"/>
        <v>4.2350000000000003</v>
      </c>
      <c r="N201" s="159">
        <v>9.36</v>
      </c>
      <c r="O201" s="160">
        <f t="shared" si="11"/>
        <v>131.864796063</v>
      </c>
      <c r="P201" s="159">
        <v>0.32704</v>
      </c>
      <c r="Q201" s="159">
        <v>4.4203099999999997</v>
      </c>
      <c r="R201" s="159">
        <v>0.91583999999999999</v>
      </c>
      <c r="S201" s="161">
        <v>14.0863</v>
      </c>
      <c r="T201" s="162" t="s">
        <v>191</v>
      </c>
      <c r="U201" s="162" t="s">
        <v>99</v>
      </c>
      <c r="V201" s="163" t="s">
        <v>208</v>
      </c>
    </row>
    <row r="202" spans="1:22">
      <c r="A202" s="159" t="s">
        <v>55</v>
      </c>
      <c r="B202" s="159">
        <v>209</v>
      </c>
      <c r="C202" s="159">
        <v>115</v>
      </c>
      <c r="D202" s="159">
        <v>23.76</v>
      </c>
      <c r="E202" s="159">
        <v>14.74</v>
      </c>
      <c r="F202" s="159">
        <v>45.5</v>
      </c>
      <c r="G202" s="159">
        <v>49</v>
      </c>
      <c r="H202" s="160">
        <f t="shared" si="9"/>
        <v>47.25</v>
      </c>
      <c r="I202" s="159">
        <v>1.73</v>
      </c>
      <c r="J202" s="159">
        <v>4.3899999999999997</v>
      </c>
      <c r="K202" s="159">
        <v>8.9</v>
      </c>
      <c r="L202" s="159">
        <v>3.47</v>
      </c>
      <c r="M202" s="160">
        <f t="shared" si="10"/>
        <v>9.2449999999999992</v>
      </c>
      <c r="N202" s="159">
        <v>9.02</v>
      </c>
      <c r="O202" s="160">
        <f t="shared" si="11"/>
        <v>605.57307583024988</v>
      </c>
      <c r="P202" s="159">
        <v>0.37963000000000002</v>
      </c>
      <c r="Q202" s="159">
        <v>1.95133</v>
      </c>
      <c r="R202" s="159">
        <v>0.50285999999999997</v>
      </c>
      <c r="S202" s="161">
        <v>67.128</v>
      </c>
      <c r="T202" s="162" t="s">
        <v>209</v>
      </c>
      <c r="U202" s="162" t="s">
        <v>210</v>
      </c>
      <c r="V202" s="163" t="s">
        <v>211</v>
      </c>
    </row>
    <row r="203" spans="1:22">
      <c r="A203" s="159" t="s">
        <v>55</v>
      </c>
      <c r="B203" s="159">
        <v>211</v>
      </c>
      <c r="C203" s="159">
        <v>115</v>
      </c>
      <c r="D203" s="159">
        <v>24.71</v>
      </c>
      <c r="E203" s="159">
        <v>13.43</v>
      </c>
      <c r="F203" s="159">
        <v>45.5</v>
      </c>
      <c r="G203" s="159">
        <v>46</v>
      </c>
      <c r="H203" s="160">
        <f t="shared" si="9"/>
        <v>45.75</v>
      </c>
      <c r="I203" s="159">
        <v>2.66</v>
      </c>
      <c r="J203" s="159">
        <v>4.4800000000000004</v>
      </c>
      <c r="K203" s="159">
        <v>3.48</v>
      </c>
      <c r="L203" s="159">
        <v>4.0199999999999996</v>
      </c>
      <c r="M203" s="160">
        <f t="shared" si="10"/>
        <v>7.32</v>
      </c>
      <c r="N203" s="159">
        <v>11.28</v>
      </c>
      <c r="O203" s="160">
        <f t="shared" si="11"/>
        <v>474.76364025600003</v>
      </c>
      <c r="P203" s="159">
        <v>0.45650000000000002</v>
      </c>
      <c r="Q203" s="159">
        <v>3.0819700000000001</v>
      </c>
      <c r="R203" s="159">
        <v>0.54010999999999998</v>
      </c>
      <c r="S203" s="161">
        <v>42.08352</v>
      </c>
      <c r="T203" s="162" t="s">
        <v>209</v>
      </c>
      <c r="U203" s="162" t="s">
        <v>210</v>
      </c>
      <c r="V203" s="163" t="s">
        <v>211</v>
      </c>
    </row>
    <row r="204" spans="1:22">
      <c r="A204" s="159" t="s">
        <v>55</v>
      </c>
      <c r="B204" s="159">
        <v>213</v>
      </c>
      <c r="C204" s="159">
        <v>115</v>
      </c>
      <c r="D204" s="159">
        <v>21.26</v>
      </c>
      <c r="E204" s="159">
        <v>12.94</v>
      </c>
      <c r="F204" s="159">
        <v>46.5</v>
      </c>
      <c r="G204" s="159">
        <v>47</v>
      </c>
      <c r="H204" s="160">
        <f t="shared" si="9"/>
        <v>46.75</v>
      </c>
      <c r="I204" s="159">
        <v>2.77</v>
      </c>
      <c r="J204" s="159">
        <v>3.51</v>
      </c>
      <c r="K204" s="159">
        <v>1.51</v>
      </c>
      <c r="L204" s="159">
        <v>3.15</v>
      </c>
      <c r="M204" s="160">
        <f t="shared" si="10"/>
        <v>5.47</v>
      </c>
      <c r="N204" s="159">
        <v>8.32</v>
      </c>
      <c r="O204" s="160">
        <f t="shared" si="11"/>
        <v>195.54385302399999</v>
      </c>
      <c r="P204" s="159">
        <v>0.39134999999999998</v>
      </c>
      <c r="Q204" s="159">
        <v>3.0420500000000001</v>
      </c>
      <c r="R204" s="159">
        <v>0.45476</v>
      </c>
      <c r="S204" s="161">
        <v>23.49982</v>
      </c>
      <c r="T204" s="162" t="s">
        <v>209</v>
      </c>
      <c r="U204" s="162" t="s">
        <v>210</v>
      </c>
      <c r="V204" s="163" t="s">
        <v>211</v>
      </c>
    </row>
    <row r="205" spans="1:22">
      <c r="A205" s="159" t="s">
        <v>55</v>
      </c>
      <c r="B205" s="159">
        <v>215</v>
      </c>
      <c r="C205" s="159">
        <v>115</v>
      </c>
      <c r="D205" s="159">
        <v>24.94</v>
      </c>
      <c r="E205" s="159">
        <v>18.62</v>
      </c>
      <c r="F205" s="159">
        <v>43.5</v>
      </c>
      <c r="G205" s="159">
        <v>45</v>
      </c>
      <c r="H205" s="160">
        <f t="shared" si="9"/>
        <v>44.25</v>
      </c>
      <c r="I205" s="159">
        <v>1.04</v>
      </c>
      <c r="J205" s="159">
        <v>4.43</v>
      </c>
      <c r="K205" s="159">
        <v>4.26</v>
      </c>
      <c r="L205" s="159">
        <v>2.44</v>
      </c>
      <c r="M205" s="160">
        <f t="shared" si="10"/>
        <v>6.085</v>
      </c>
      <c r="N205" s="159">
        <v>6.32</v>
      </c>
      <c r="O205" s="160">
        <f t="shared" si="11"/>
        <v>183.816474701</v>
      </c>
      <c r="P205" s="159">
        <v>0.25341000000000002</v>
      </c>
      <c r="Q205" s="159">
        <v>2.0772400000000002</v>
      </c>
      <c r="R205" s="159">
        <v>0.56362000000000001</v>
      </c>
      <c r="S205" s="161">
        <v>29.081109999999999</v>
      </c>
      <c r="T205" s="162" t="s">
        <v>209</v>
      </c>
      <c r="U205" s="162" t="s">
        <v>210</v>
      </c>
      <c r="V205" s="163" t="s">
        <v>211</v>
      </c>
    </row>
    <row r="206" spans="1:22">
      <c r="A206" s="159" t="s">
        <v>55</v>
      </c>
      <c r="B206" s="159">
        <v>217</v>
      </c>
      <c r="C206" s="159">
        <v>115</v>
      </c>
      <c r="D206" s="159">
        <v>30</v>
      </c>
      <c r="E206" s="159">
        <v>19.36</v>
      </c>
      <c r="F206" s="159">
        <v>47.5</v>
      </c>
      <c r="G206" s="159">
        <v>49.5</v>
      </c>
      <c r="H206" s="160">
        <f t="shared" si="9"/>
        <v>48.5</v>
      </c>
      <c r="I206" s="159">
        <v>2.73</v>
      </c>
      <c r="J206" s="159">
        <v>5.95</v>
      </c>
      <c r="K206" s="159">
        <v>3.55</v>
      </c>
      <c r="L206" s="159">
        <v>0.83</v>
      </c>
      <c r="M206" s="160">
        <f t="shared" si="10"/>
        <v>6.53</v>
      </c>
      <c r="N206" s="159">
        <v>10.64</v>
      </c>
      <c r="O206" s="160">
        <f t="shared" si="11"/>
        <v>356.38070274799998</v>
      </c>
      <c r="P206" s="159">
        <v>0.35466999999999999</v>
      </c>
      <c r="Q206" s="159">
        <v>3.25881</v>
      </c>
      <c r="R206" s="159">
        <v>0.61856</v>
      </c>
      <c r="S206" s="161">
        <v>33.490079999999999</v>
      </c>
      <c r="T206" s="162" t="s">
        <v>209</v>
      </c>
      <c r="U206" s="162" t="s">
        <v>210</v>
      </c>
      <c r="V206" s="163" t="s">
        <v>211</v>
      </c>
    </row>
    <row r="207" spans="1:22">
      <c r="A207" s="159" t="s">
        <v>55</v>
      </c>
      <c r="B207" s="159">
        <v>221</v>
      </c>
      <c r="C207" s="159">
        <v>118</v>
      </c>
      <c r="D207" s="159">
        <v>22.57</v>
      </c>
      <c r="E207" s="159">
        <v>14.31</v>
      </c>
      <c r="F207" s="159">
        <v>35.5</v>
      </c>
      <c r="G207" s="159">
        <v>41</v>
      </c>
      <c r="H207" s="160">
        <f t="shared" si="9"/>
        <v>38.25</v>
      </c>
      <c r="I207" s="159">
        <v>2.78</v>
      </c>
      <c r="J207" s="159">
        <v>3.93</v>
      </c>
      <c r="K207" s="159">
        <v>2.9</v>
      </c>
      <c r="L207" s="159">
        <v>5.39</v>
      </c>
      <c r="M207" s="160">
        <f t="shared" si="10"/>
        <v>7.5</v>
      </c>
      <c r="N207" s="159">
        <v>8.26</v>
      </c>
      <c r="O207" s="160">
        <f t="shared" si="11"/>
        <v>364.96293749999995</v>
      </c>
      <c r="P207" s="159">
        <v>0.36597000000000002</v>
      </c>
      <c r="Q207" s="159">
        <v>2.2026699999999999</v>
      </c>
      <c r="R207" s="159">
        <v>0.58245000000000002</v>
      </c>
      <c r="S207" s="161">
        <v>44.178649999999998</v>
      </c>
      <c r="T207" s="162" t="s">
        <v>209</v>
      </c>
      <c r="U207" s="162" t="s">
        <v>210</v>
      </c>
      <c r="V207" s="163" t="s">
        <v>212</v>
      </c>
    </row>
    <row r="208" spans="1:22">
      <c r="A208" s="159" t="s">
        <v>55</v>
      </c>
      <c r="B208" s="159">
        <v>223</v>
      </c>
      <c r="C208" s="159">
        <v>118</v>
      </c>
      <c r="D208" s="159">
        <v>28.7</v>
      </c>
      <c r="E208" s="159">
        <v>15.53</v>
      </c>
      <c r="F208" s="159">
        <v>44.5</v>
      </c>
      <c r="G208" s="159">
        <v>49.5</v>
      </c>
      <c r="H208" s="160">
        <f t="shared" si="9"/>
        <v>47</v>
      </c>
      <c r="I208" s="159">
        <v>2.61</v>
      </c>
      <c r="J208" s="159">
        <v>5.26</v>
      </c>
      <c r="K208" s="159">
        <v>4.38</v>
      </c>
      <c r="L208" s="159">
        <v>2.93</v>
      </c>
      <c r="M208" s="160">
        <f t="shared" si="10"/>
        <v>7.59</v>
      </c>
      <c r="N208" s="159">
        <v>13.17</v>
      </c>
      <c r="O208" s="160">
        <f t="shared" si="11"/>
        <v>595.95781078349989</v>
      </c>
      <c r="P208" s="159">
        <v>0.45889000000000002</v>
      </c>
      <c r="Q208" s="159">
        <v>3.4703599999999999</v>
      </c>
      <c r="R208" s="159">
        <v>0.61063999999999996</v>
      </c>
      <c r="S208" s="161">
        <v>45.2453</v>
      </c>
      <c r="T208" s="162" t="s">
        <v>209</v>
      </c>
      <c r="U208" s="162" t="s">
        <v>210</v>
      </c>
      <c r="V208" s="163" t="s">
        <v>212</v>
      </c>
    </row>
    <row r="209" spans="1:23">
      <c r="A209" s="159" t="s">
        <v>55</v>
      </c>
      <c r="B209" s="159">
        <v>219</v>
      </c>
      <c r="C209" s="159">
        <v>118</v>
      </c>
      <c r="D209" s="159">
        <v>22.48</v>
      </c>
      <c r="E209" s="159">
        <v>14.43</v>
      </c>
      <c r="F209" s="159">
        <v>39</v>
      </c>
      <c r="G209" s="159">
        <v>40.5</v>
      </c>
      <c r="H209" s="160">
        <f t="shared" si="9"/>
        <v>39.75</v>
      </c>
      <c r="I209" s="159">
        <v>2.15</v>
      </c>
      <c r="J209" s="159">
        <v>6.07</v>
      </c>
      <c r="K209" s="159">
        <v>3.73</v>
      </c>
      <c r="L209" s="159">
        <v>1.53</v>
      </c>
      <c r="M209" s="160">
        <f t="shared" si="10"/>
        <v>6.74</v>
      </c>
      <c r="N209" s="159">
        <v>8.0500000000000007</v>
      </c>
      <c r="O209" s="160">
        <f t="shared" si="11"/>
        <v>287.25120739000005</v>
      </c>
      <c r="P209" s="159">
        <v>0.35809999999999997</v>
      </c>
      <c r="Q209" s="159">
        <v>2.3887200000000002</v>
      </c>
      <c r="R209" s="159">
        <v>0.56552999999999998</v>
      </c>
      <c r="S209" s="161">
        <v>35.678750000000001</v>
      </c>
      <c r="T209" s="162" t="s">
        <v>209</v>
      </c>
      <c r="U209" s="162" t="s">
        <v>210</v>
      </c>
      <c r="V209" s="163" t="s">
        <v>212</v>
      </c>
    </row>
    <row r="210" spans="1:23">
      <c r="A210" s="159" t="s">
        <v>55</v>
      </c>
      <c r="B210" s="159">
        <v>225</v>
      </c>
      <c r="C210" s="159">
        <v>118</v>
      </c>
      <c r="D210" s="159">
        <v>20.74</v>
      </c>
      <c r="E210" s="159">
        <v>14.13</v>
      </c>
      <c r="F210" s="159">
        <v>37</v>
      </c>
      <c r="G210" s="159">
        <v>35.5</v>
      </c>
      <c r="H210" s="160">
        <f t="shared" si="9"/>
        <v>36.25</v>
      </c>
      <c r="I210" s="159">
        <v>0.78</v>
      </c>
      <c r="J210" s="159">
        <v>0.91</v>
      </c>
      <c r="K210" s="159">
        <v>6.26</v>
      </c>
      <c r="L210" s="159">
        <v>7.96</v>
      </c>
      <c r="M210" s="160">
        <f t="shared" si="10"/>
        <v>7.9550000000000001</v>
      </c>
      <c r="N210" s="159">
        <v>6.61</v>
      </c>
      <c r="O210" s="160">
        <f t="shared" si="11"/>
        <v>328.57008251387504</v>
      </c>
      <c r="P210" s="159">
        <v>0.31870999999999999</v>
      </c>
      <c r="Q210" s="159">
        <v>1.66185</v>
      </c>
      <c r="R210" s="159">
        <v>0.57213999999999998</v>
      </c>
      <c r="S210" s="161">
        <v>49.701590000000003</v>
      </c>
      <c r="T210" s="162" t="s">
        <v>209</v>
      </c>
      <c r="U210" s="162" t="s">
        <v>210</v>
      </c>
      <c r="V210" s="163" t="s">
        <v>212</v>
      </c>
    </row>
    <row r="211" spans="1:23">
      <c r="A211" s="159" t="s">
        <v>55</v>
      </c>
      <c r="B211" s="159">
        <v>227</v>
      </c>
      <c r="C211" s="159">
        <v>118</v>
      </c>
      <c r="D211" s="159">
        <v>21.27</v>
      </c>
      <c r="E211" s="159">
        <v>13.11</v>
      </c>
      <c r="F211" s="159">
        <v>43</v>
      </c>
      <c r="G211" s="159">
        <v>38.5</v>
      </c>
      <c r="H211" s="160">
        <f t="shared" si="9"/>
        <v>40.75</v>
      </c>
      <c r="I211" s="159">
        <v>0.61</v>
      </c>
      <c r="J211" s="159">
        <v>2.2200000000000002</v>
      </c>
      <c r="K211" s="159">
        <v>5.81</v>
      </c>
      <c r="L211" s="159">
        <v>3.47</v>
      </c>
      <c r="M211" s="160">
        <f t="shared" si="10"/>
        <v>6.0550000000000006</v>
      </c>
      <c r="N211" s="159">
        <v>8.16</v>
      </c>
      <c r="O211" s="160">
        <f t="shared" si="11"/>
        <v>234.99825808200001</v>
      </c>
      <c r="P211" s="159">
        <v>0.38363999999999998</v>
      </c>
      <c r="Q211" s="159">
        <v>2.69529</v>
      </c>
      <c r="R211" s="159">
        <v>0.52195999999999998</v>
      </c>
      <c r="S211" s="161">
        <v>28.795069999999999</v>
      </c>
      <c r="T211" s="162" t="s">
        <v>209</v>
      </c>
      <c r="U211" s="162" t="s">
        <v>210</v>
      </c>
      <c r="V211" s="163" t="s">
        <v>212</v>
      </c>
    </row>
    <row r="215" spans="1:23">
      <c r="A215" s="140" t="s">
        <v>142</v>
      </c>
    </row>
    <row r="216" spans="1:23">
      <c r="A216" s="140" t="s">
        <v>213</v>
      </c>
    </row>
    <row r="218" spans="1:23">
      <c r="A218" s="141" t="s">
        <v>214</v>
      </c>
      <c r="O218" s="141" t="s">
        <v>215</v>
      </c>
    </row>
    <row r="219" spans="1:23">
      <c r="A219" s="141" t="s">
        <v>216</v>
      </c>
      <c r="O219" s="141" t="s">
        <v>217</v>
      </c>
    </row>
    <row r="220" spans="1:23">
      <c r="A220" s="141" t="s">
        <v>218</v>
      </c>
      <c r="O220" s="141" t="s">
        <v>219</v>
      </c>
    </row>
    <row r="221" spans="1:23" ht="127.5">
      <c r="A221" s="140" t="s">
        <v>220</v>
      </c>
      <c r="B221" s="142" t="s">
        <v>221</v>
      </c>
      <c r="C221" s="142" t="s">
        <v>222</v>
      </c>
      <c r="D221" s="142" t="s">
        <v>223</v>
      </c>
      <c r="E221" s="142" t="s">
        <v>224</v>
      </c>
      <c r="F221" s="142" t="s">
        <v>225</v>
      </c>
      <c r="G221" s="142" t="s">
        <v>226</v>
      </c>
      <c r="H221" s="142" t="s">
        <v>227</v>
      </c>
      <c r="I221" s="142" t="s">
        <v>228</v>
      </c>
      <c r="J221" s="145" t="s">
        <v>229</v>
      </c>
      <c r="N221" s="142"/>
      <c r="O221" s="142" t="s">
        <v>1584</v>
      </c>
      <c r="P221" s="142"/>
      <c r="Q221" s="142" t="s">
        <v>230</v>
      </c>
      <c r="R221" s="142" t="s">
        <v>221</v>
      </c>
      <c r="S221" s="142" t="s">
        <v>231</v>
      </c>
      <c r="T221" s="142" t="s">
        <v>232</v>
      </c>
      <c r="U221" s="142" t="s">
        <v>233</v>
      </c>
      <c r="V221" s="142" t="s">
        <v>234</v>
      </c>
      <c r="W221" s="142"/>
    </row>
    <row r="222" spans="1:23">
      <c r="A222" s="136">
        <v>6</v>
      </c>
      <c r="B222" s="140">
        <v>2.1</v>
      </c>
      <c r="C222" s="165">
        <v>10450</v>
      </c>
      <c r="D222" s="136">
        <v>0.8</v>
      </c>
      <c r="E222" s="166" t="s">
        <v>125</v>
      </c>
      <c r="F222" s="136">
        <v>0.2</v>
      </c>
      <c r="G222" s="136">
        <v>0.5</v>
      </c>
      <c r="H222" s="136">
        <v>1.5</v>
      </c>
      <c r="I222" s="136">
        <v>96</v>
      </c>
      <c r="J222" s="146">
        <f t="shared" ref="J222:J230" si="12">F222+G222</f>
        <v>0.7</v>
      </c>
      <c r="O222" s="136">
        <v>1993</v>
      </c>
      <c r="P222" s="140" t="s">
        <v>235</v>
      </c>
      <c r="Q222" s="140">
        <v>4</v>
      </c>
      <c r="R222" s="136">
        <v>2.64</v>
      </c>
      <c r="S222" s="136">
        <v>0.89</v>
      </c>
      <c r="T222" s="136">
        <v>2.46</v>
      </c>
      <c r="U222" s="136">
        <v>1.41</v>
      </c>
      <c r="V222" s="136">
        <v>1.41E-2</v>
      </c>
    </row>
    <row r="223" spans="1:23">
      <c r="A223" s="136">
        <v>24</v>
      </c>
      <c r="B223" s="140">
        <v>9.1</v>
      </c>
      <c r="C223" s="165">
        <v>4990</v>
      </c>
      <c r="D223" s="136">
        <v>5.5</v>
      </c>
      <c r="E223" s="136">
        <v>6</v>
      </c>
      <c r="F223" s="136">
        <v>0.3</v>
      </c>
      <c r="G223" s="136">
        <v>1.1000000000000001</v>
      </c>
      <c r="H223" s="136">
        <v>7.8</v>
      </c>
      <c r="I223" s="136">
        <v>72</v>
      </c>
      <c r="J223" s="146">
        <f t="shared" si="12"/>
        <v>1.4000000000000001</v>
      </c>
      <c r="O223" s="136">
        <v>1994</v>
      </c>
      <c r="P223" s="140" t="s">
        <v>235</v>
      </c>
      <c r="Q223" s="140">
        <v>5</v>
      </c>
      <c r="R223" s="136">
        <v>4.1399999999999997</v>
      </c>
      <c r="S223" s="136">
        <v>1.43</v>
      </c>
      <c r="T223" s="136">
        <v>3.96</v>
      </c>
      <c r="U223" s="136">
        <v>7.05</v>
      </c>
      <c r="V223" s="136">
        <v>1.5900000000000001E-2</v>
      </c>
    </row>
    <row r="224" spans="1:23">
      <c r="A224" s="136">
        <v>27</v>
      </c>
      <c r="B224" s="140">
        <v>12.8</v>
      </c>
      <c r="C224" s="165">
        <v>2480</v>
      </c>
      <c r="D224" s="136">
        <v>8.1</v>
      </c>
      <c r="E224" s="136">
        <v>10</v>
      </c>
      <c r="F224" s="136">
        <v>0.4</v>
      </c>
      <c r="G224" s="136">
        <v>1.6</v>
      </c>
      <c r="H224" s="136">
        <v>11</v>
      </c>
      <c r="I224" s="136">
        <v>77</v>
      </c>
      <c r="J224" s="146">
        <f t="shared" si="12"/>
        <v>2</v>
      </c>
    </row>
    <row r="225" spans="1:10">
      <c r="A225" s="136">
        <v>32</v>
      </c>
      <c r="B225" s="140">
        <v>9.5</v>
      </c>
      <c r="C225" s="165">
        <v>4210</v>
      </c>
      <c r="D225" s="136">
        <v>5.7</v>
      </c>
      <c r="E225" s="136">
        <v>7</v>
      </c>
      <c r="F225" s="136">
        <v>0.4</v>
      </c>
      <c r="G225" s="136">
        <v>1.3</v>
      </c>
      <c r="H225" s="136">
        <v>7.8</v>
      </c>
      <c r="I225" s="136">
        <v>84</v>
      </c>
      <c r="J225" s="146">
        <f t="shared" si="12"/>
        <v>1.7000000000000002</v>
      </c>
    </row>
    <row r="226" spans="1:10">
      <c r="A226" s="136">
        <v>38</v>
      </c>
      <c r="B226" s="140">
        <v>12.3</v>
      </c>
      <c r="C226" s="165">
        <v>1500</v>
      </c>
      <c r="D226" s="136">
        <v>6.8</v>
      </c>
      <c r="E226" s="136">
        <v>12</v>
      </c>
      <c r="F226" s="136">
        <v>0.6</v>
      </c>
      <c r="G226" s="136">
        <v>1.9</v>
      </c>
      <c r="H226" s="136">
        <v>11</v>
      </c>
      <c r="I226" s="136">
        <v>84</v>
      </c>
      <c r="J226" s="146">
        <f t="shared" si="12"/>
        <v>2.5</v>
      </c>
    </row>
    <row r="227" spans="1:10">
      <c r="A227" s="136">
        <v>42</v>
      </c>
      <c r="B227" s="136">
        <v>13</v>
      </c>
      <c r="C227" s="165">
        <v>1340</v>
      </c>
      <c r="D227" s="136">
        <v>7.4</v>
      </c>
      <c r="E227" s="136">
        <v>14</v>
      </c>
      <c r="F227" s="136">
        <v>0.7</v>
      </c>
      <c r="G227" s="136">
        <v>2.2000000000000002</v>
      </c>
      <c r="H227" s="136">
        <v>10.3</v>
      </c>
      <c r="I227" s="136">
        <v>88</v>
      </c>
      <c r="J227" s="146">
        <f t="shared" si="12"/>
        <v>2.9000000000000004</v>
      </c>
    </row>
    <row r="228" spans="1:10">
      <c r="A228" s="136">
        <v>46</v>
      </c>
      <c r="B228" s="136">
        <v>18.8</v>
      </c>
      <c r="C228" s="136">
        <v>740</v>
      </c>
      <c r="D228" s="136">
        <v>10.7</v>
      </c>
      <c r="E228" s="136">
        <v>21</v>
      </c>
      <c r="F228" s="136">
        <v>0.6</v>
      </c>
      <c r="G228" s="136">
        <v>2.7</v>
      </c>
      <c r="H228" s="136">
        <v>15.4</v>
      </c>
      <c r="I228" s="136">
        <v>89</v>
      </c>
      <c r="J228" s="146">
        <f t="shared" si="12"/>
        <v>3.3000000000000003</v>
      </c>
    </row>
    <row r="229" spans="1:10">
      <c r="A229" s="136">
        <v>53</v>
      </c>
      <c r="B229" s="136">
        <v>18.5</v>
      </c>
      <c r="C229" s="165">
        <v>1020</v>
      </c>
      <c r="D229" s="136">
        <v>10.6</v>
      </c>
      <c r="E229" s="136">
        <v>18</v>
      </c>
      <c r="F229" s="136">
        <v>0.6</v>
      </c>
      <c r="G229" s="136">
        <v>2.6</v>
      </c>
      <c r="H229" s="136">
        <v>15.2</v>
      </c>
      <c r="I229" s="136">
        <v>87</v>
      </c>
      <c r="J229" s="146">
        <f t="shared" si="12"/>
        <v>3.2</v>
      </c>
    </row>
    <row r="230" spans="1:10">
      <c r="A230" s="136">
        <v>55</v>
      </c>
      <c r="B230" s="136">
        <v>17.600000000000001</v>
      </c>
      <c r="C230" s="136">
        <v>880</v>
      </c>
      <c r="D230" s="136">
        <v>9.3000000000000007</v>
      </c>
      <c r="E230" s="136">
        <v>19</v>
      </c>
      <c r="F230" s="136">
        <v>0.7</v>
      </c>
      <c r="G230" s="136">
        <v>2.9</v>
      </c>
      <c r="H230" s="136">
        <v>14.2</v>
      </c>
      <c r="I230" s="136">
        <v>88</v>
      </c>
      <c r="J230" s="146">
        <f t="shared" si="12"/>
        <v>3.5999999999999996</v>
      </c>
    </row>
    <row r="231" spans="1:10">
      <c r="A231" s="136">
        <v>4</v>
      </c>
      <c r="B231" s="136">
        <v>2.64</v>
      </c>
      <c r="J231" s="146">
        <v>1.78</v>
      </c>
    </row>
    <row r="232" spans="1:10">
      <c r="A232" s="136">
        <v>5</v>
      </c>
      <c r="B232" s="136">
        <v>4.1399999999999997</v>
      </c>
      <c r="J232" s="146">
        <v>2.86</v>
      </c>
    </row>
  </sheetData>
  <pageMargins left="0.78740157499999996" right="0.78740157499999996" top="0.984251969" bottom="0.984251969" header="0.4921259845" footer="0.4921259845"/>
  <headerFooter alignWithMargins="0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124"/>
  <sheetViews>
    <sheetView workbookViewId="0">
      <selection activeCell="D11" sqref="D11"/>
    </sheetView>
  </sheetViews>
  <sheetFormatPr baseColWidth="10" defaultRowHeight="12.75"/>
  <sheetData>
    <row r="1" spans="1:11">
      <c r="A1" s="3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2" t="s">
        <v>1487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>
      <c r="A4" s="131" t="s">
        <v>19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>
      <c r="A5" s="2" t="s">
        <v>1487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>
      <c r="A6" s="327" t="s">
        <v>1681</v>
      </c>
      <c r="B6" s="341" t="s">
        <v>1682</v>
      </c>
      <c r="C6" s="342"/>
      <c r="D6" s="327" t="s">
        <v>20</v>
      </c>
      <c r="E6" s="327" t="s">
        <v>1653</v>
      </c>
      <c r="F6" s="346" t="s">
        <v>21</v>
      </c>
      <c r="G6" s="347"/>
      <c r="H6" s="347"/>
      <c r="I6" s="347"/>
      <c r="J6" s="348"/>
      <c r="K6" s="132"/>
    </row>
    <row r="7" spans="1:11">
      <c r="A7" s="345"/>
      <c r="B7" s="349"/>
      <c r="C7" s="350"/>
      <c r="D7" s="345"/>
      <c r="E7" s="345"/>
      <c r="F7" s="291" t="s">
        <v>22</v>
      </c>
      <c r="G7" s="292"/>
      <c r="H7" s="293"/>
      <c r="I7" s="291" t="s">
        <v>23</v>
      </c>
      <c r="J7" s="292"/>
      <c r="K7" s="293"/>
    </row>
    <row r="8" spans="1:11" ht="21">
      <c r="A8" s="307"/>
      <c r="B8" s="343"/>
      <c r="C8" s="344"/>
      <c r="D8" s="307"/>
      <c r="E8" s="307"/>
      <c r="F8" s="113" t="s">
        <v>24</v>
      </c>
      <c r="G8" s="113" t="s">
        <v>25</v>
      </c>
      <c r="H8" s="113" t="s">
        <v>26</v>
      </c>
      <c r="I8" s="113" t="s">
        <v>24</v>
      </c>
      <c r="J8" s="113" t="s">
        <v>25</v>
      </c>
      <c r="K8" s="113" t="s">
        <v>26</v>
      </c>
    </row>
    <row r="9" spans="1:11">
      <c r="A9" s="116"/>
      <c r="B9" s="115" t="s">
        <v>1689</v>
      </c>
      <c r="C9" s="115"/>
      <c r="D9" s="116"/>
      <c r="E9" s="116"/>
      <c r="F9" s="116"/>
      <c r="G9" s="116"/>
      <c r="H9" s="116"/>
      <c r="I9" s="116"/>
      <c r="J9" s="116"/>
      <c r="K9" s="116"/>
    </row>
    <row r="10" spans="1:11">
      <c r="A10" s="133" t="s">
        <v>1690</v>
      </c>
      <c r="B10" s="328" t="s">
        <v>1691</v>
      </c>
      <c r="C10" s="330"/>
      <c r="D10" s="118">
        <v>19</v>
      </c>
      <c r="E10" s="118">
        <v>9</v>
      </c>
      <c r="F10" s="118">
        <v>62</v>
      </c>
      <c r="G10" s="118">
        <v>62</v>
      </c>
      <c r="H10" s="118"/>
      <c r="I10" s="118">
        <v>161</v>
      </c>
      <c r="J10" s="118">
        <v>162</v>
      </c>
      <c r="K10" s="118"/>
    </row>
    <row r="11" spans="1:11">
      <c r="A11" s="120"/>
      <c r="B11" s="118" t="s">
        <v>1692</v>
      </c>
      <c r="C11" s="118"/>
      <c r="D11" s="120"/>
      <c r="E11" s="120"/>
      <c r="F11" s="120"/>
      <c r="G11" s="120"/>
      <c r="H11" s="120"/>
      <c r="I11" s="120"/>
      <c r="J11" s="120"/>
      <c r="K11" s="120"/>
    </row>
    <row r="12" spans="1:11">
      <c r="A12" s="133" t="s">
        <v>1693</v>
      </c>
      <c r="B12" s="328" t="s">
        <v>1694</v>
      </c>
      <c r="C12" s="330"/>
      <c r="D12" s="118">
        <v>20</v>
      </c>
      <c r="E12" s="118">
        <v>7</v>
      </c>
      <c r="F12" s="118">
        <v>62</v>
      </c>
      <c r="G12" s="118">
        <v>62</v>
      </c>
      <c r="H12" s="118"/>
      <c r="I12" s="118">
        <v>162</v>
      </c>
      <c r="J12" s="118">
        <v>162</v>
      </c>
      <c r="K12" s="118"/>
    </row>
    <row r="13" spans="1:11">
      <c r="A13" s="133" t="s">
        <v>1695</v>
      </c>
      <c r="B13" s="328" t="s">
        <v>1342</v>
      </c>
      <c r="C13" s="330"/>
      <c r="D13" s="118">
        <v>20</v>
      </c>
      <c r="E13" s="118">
        <v>10</v>
      </c>
      <c r="F13" s="118">
        <v>64</v>
      </c>
      <c r="G13" s="118">
        <v>64</v>
      </c>
      <c r="H13" s="118"/>
      <c r="I13" s="118">
        <v>179</v>
      </c>
      <c r="J13" s="118">
        <v>179</v>
      </c>
      <c r="K13" s="118"/>
    </row>
    <row r="14" spans="1:11">
      <c r="A14" s="120"/>
      <c r="B14" s="118" t="s">
        <v>27</v>
      </c>
      <c r="C14" s="118"/>
      <c r="D14" s="120"/>
      <c r="E14" s="120"/>
      <c r="F14" s="120"/>
      <c r="G14" s="120"/>
      <c r="H14" s="120"/>
      <c r="I14" s="120"/>
      <c r="J14" s="120"/>
      <c r="K14" s="120"/>
    </row>
    <row r="15" spans="1:11">
      <c r="A15" s="118" t="s">
        <v>1698</v>
      </c>
      <c r="B15" s="328" t="s">
        <v>1360</v>
      </c>
      <c r="C15" s="350"/>
      <c r="D15" s="118">
        <v>20</v>
      </c>
      <c r="E15" s="118">
        <v>9</v>
      </c>
      <c r="F15" s="118">
        <v>63</v>
      </c>
      <c r="G15" s="118">
        <v>63</v>
      </c>
      <c r="H15" s="118"/>
      <c r="I15" s="118">
        <v>167</v>
      </c>
      <c r="J15" s="118">
        <v>167</v>
      </c>
      <c r="K15" s="118"/>
    </row>
    <row r="16" spans="1:11">
      <c r="A16" s="118" t="s">
        <v>1699</v>
      </c>
      <c r="B16" s="328" t="s">
        <v>1342</v>
      </c>
      <c r="C16" s="350"/>
      <c r="D16" s="118">
        <v>20</v>
      </c>
      <c r="E16" s="118">
        <v>10</v>
      </c>
      <c r="F16" s="118">
        <v>67</v>
      </c>
      <c r="G16" s="118">
        <v>67</v>
      </c>
      <c r="H16" s="118"/>
      <c r="I16" s="118">
        <v>200</v>
      </c>
      <c r="J16" s="118">
        <v>200</v>
      </c>
      <c r="K16" s="118"/>
    </row>
    <row r="17" spans="1:11">
      <c r="A17" s="118" t="s">
        <v>1700</v>
      </c>
      <c r="B17" s="328" t="s">
        <v>1363</v>
      </c>
      <c r="C17" s="350"/>
      <c r="D17" s="118">
        <v>20</v>
      </c>
      <c r="E17" s="118">
        <v>10</v>
      </c>
      <c r="F17" s="118">
        <v>65</v>
      </c>
      <c r="G17" s="118">
        <v>65</v>
      </c>
      <c r="H17" s="118"/>
      <c r="I17" s="118">
        <v>184</v>
      </c>
      <c r="J17" s="118">
        <v>184</v>
      </c>
      <c r="K17" s="118"/>
    </row>
    <row r="18" spans="1:11">
      <c r="A18" s="118" t="s">
        <v>1701</v>
      </c>
      <c r="B18" s="328" t="s">
        <v>1365</v>
      </c>
      <c r="C18" s="350"/>
      <c r="D18" s="118">
        <v>20</v>
      </c>
      <c r="E18" s="118">
        <v>9</v>
      </c>
      <c r="F18" s="118">
        <v>66</v>
      </c>
      <c r="G18" s="118">
        <v>66</v>
      </c>
      <c r="H18" s="118"/>
      <c r="I18" s="118">
        <v>194</v>
      </c>
      <c r="J18" s="118">
        <v>194</v>
      </c>
      <c r="K18" s="118"/>
    </row>
    <row r="19" spans="1:11">
      <c r="A19" s="118" t="s">
        <v>1703</v>
      </c>
      <c r="B19" s="328" t="s">
        <v>28</v>
      </c>
      <c r="C19" s="350"/>
      <c r="D19" s="118">
        <v>20</v>
      </c>
      <c r="E19" s="118">
        <v>9</v>
      </c>
      <c r="F19" s="118">
        <v>62</v>
      </c>
      <c r="G19" s="118">
        <v>62</v>
      </c>
      <c r="H19" s="118"/>
      <c r="I19" s="118">
        <v>165</v>
      </c>
      <c r="J19" s="118">
        <v>165</v>
      </c>
      <c r="K19" s="118"/>
    </row>
    <row r="20" spans="1:11">
      <c r="A20" s="118" t="s">
        <v>1704</v>
      </c>
      <c r="B20" s="328" t="s">
        <v>1369</v>
      </c>
      <c r="C20" s="350"/>
      <c r="D20" s="118">
        <v>20</v>
      </c>
      <c r="E20" s="118">
        <v>9</v>
      </c>
      <c r="F20" s="118">
        <v>66</v>
      </c>
      <c r="G20" s="118">
        <v>66</v>
      </c>
      <c r="H20" s="118"/>
      <c r="I20" s="118">
        <v>191</v>
      </c>
      <c r="J20" s="118">
        <v>101</v>
      </c>
      <c r="K20" s="118"/>
    </row>
    <row r="21" spans="1:11">
      <c r="A21" s="118" t="s">
        <v>1705</v>
      </c>
      <c r="B21" s="328" t="s">
        <v>1374</v>
      </c>
      <c r="C21" s="350"/>
      <c r="D21" s="118">
        <v>20</v>
      </c>
      <c r="E21" s="118">
        <v>7</v>
      </c>
      <c r="F21" s="118">
        <v>63</v>
      </c>
      <c r="G21" s="118">
        <v>63</v>
      </c>
      <c r="H21" s="118"/>
      <c r="I21" s="118">
        <v>170</v>
      </c>
      <c r="J21" s="118">
        <v>170</v>
      </c>
      <c r="K21" s="118"/>
    </row>
    <row r="22" spans="1:11">
      <c r="A22" s="118" t="s">
        <v>1706</v>
      </c>
      <c r="B22" s="328" t="s">
        <v>1360</v>
      </c>
      <c r="C22" s="350"/>
      <c r="D22" s="118">
        <v>20</v>
      </c>
      <c r="E22" s="118">
        <v>10</v>
      </c>
      <c r="F22" s="118">
        <v>66</v>
      </c>
      <c r="G22" s="118">
        <v>66</v>
      </c>
      <c r="H22" s="118"/>
      <c r="I22" s="118">
        <v>193</v>
      </c>
      <c r="J22" s="118">
        <v>193</v>
      </c>
      <c r="K22" s="118"/>
    </row>
    <row r="23" spans="1:11">
      <c r="A23" s="118" t="s">
        <v>1707</v>
      </c>
      <c r="B23" s="328" t="s">
        <v>1360</v>
      </c>
      <c r="C23" s="350"/>
      <c r="D23" s="118">
        <v>20</v>
      </c>
      <c r="E23" s="118">
        <v>9</v>
      </c>
      <c r="F23" s="118">
        <v>64</v>
      </c>
      <c r="G23" s="118">
        <v>64</v>
      </c>
      <c r="H23" s="118"/>
      <c r="I23" s="118">
        <v>178</v>
      </c>
      <c r="J23" s="118">
        <v>178</v>
      </c>
      <c r="K23" s="118"/>
    </row>
    <row r="24" spans="1:11">
      <c r="A24" s="120"/>
      <c r="B24" s="121" t="s">
        <v>29</v>
      </c>
      <c r="C24" s="121"/>
      <c r="D24" s="120"/>
      <c r="E24" s="120"/>
      <c r="F24" s="120"/>
      <c r="G24" s="120"/>
      <c r="H24" s="120"/>
      <c r="I24" s="120"/>
      <c r="J24" s="120"/>
      <c r="K24" s="120"/>
    </row>
    <row r="25" spans="1:11">
      <c r="A25" s="120"/>
      <c r="B25" s="331" t="s">
        <v>1709</v>
      </c>
      <c r="C25" s="332"/>
      <c r="D25" s="120"/>
      <c r="E25" s="120"/>
      <c r="F25" s="120"/>
      <c r="G25" s="120"/>
      <c r="H25" s="120"/>
      <c r="I25" s="120"/>
      <c r="J25" s="120"/>
      <c r="K25" s="120"/>
    </row>
    <row r="26" spans="1:11">
      <c r="A26" s="118" t="s">
        <v>1710</v>
      </c>
      <c r="B26" s="328" t="s">
        <v>1691</v>
      </c>
      <c r="C26" s="350"/>
      <c r="D26" s="118">
        <v>21</v>
      </c>
      <c r="E26" s="118">
        <v>6</v>
      </c>
      <c r="F26" s="118">
        <v>64</v>
      </c>
      <c r="G26" s="118">
        <v>64</v>
      </c>
      <c r="H26" s="118"/>
      <c r="I26" s="118">
        <v>175</v>
      </c>
      <c r="J26" s="118">
        <v>175</v>
      </c>
      <c r="K26" s="118"/>
    </row>
    <row r="27" spans="1:11">
      <c r="A27" s="118" t="s">
        <v>30</v>
      </c>
      <c r="B27" s="328" t="s">
        <v>1383</v>
      </c>
      <c r="C27" s="350"/>
      <c r="D27" s="118">
        <v>21</v>
      </c>
      <c r="E27" s="118">
        <v>10</v>
      </c>
      <c r="F27" s="118">
        <v>64</v>
      </c>
      <c r="G27" s="118">
        <v>64</v>
      </c>
      <c r="H27" s="118"/>
      <c r="I27" s="118">
        <v>180</v>
      </c>
      <c r="J27" s="118">
        <v>180</v>
      </c>
      <c r="K27" s="118"/>
    </row>
    <row r="28" spans="1:11">
      <c r="A28" s="120"/>
      <c r="B28" s="118" t="s">
        <v>1712</v>
      </c>
      <c r="C28" s="118"/>
      <c r="D28" s="120"/>
      <c r="E28" s="120"/>
      <c r="F28" s="120"/>
      <c r="G28" s="120"/>
      <c r="H28" s="120"/>
      <c r="I28" s="120"/>
      <c r="J28" s="120"/>
      <c r="K28" s="120"/>
    </row>
    <row r="29" spans="1:11">
      <c r="A29" s="118" t="s">
        <v>1713</v>
      </c>
      <c r="B29" s="328" t="s">
        <v>1416</v>
      </c>
      <c r="C29" s="330"/>
      <c r="D29" s="118">
        <v>24</v>
      </c>
      <c r="E29" s="118">
        <v>9</v>
      </c>
      <c r="F29" s="118">
        <v>59</v>
      </c>
      <c r="G29" s="118">
        <v>59</v>
      </c>
      <c r="H29" s="118"/>
      <c r="I29" s="118">
        <v>146</v>
      </c>
      <c r="J29" s="118">
        <v>146</v>
      </c>
      <c r="K29" s="118"/>
    </row>
    <row r="30" spans="1:11">
      <c r="A30" s="118" t="s">
        <v>1714</v>
      </c>
      <c r="B30" s="328" t="s">
        <v>1342</v>
      </c>
      <c r="C30" s="330"/>
      <c r="D30" s="118">
        <v>24</v>
      </c>
      <c r="E30" s="118">
        <v>10</v>
      </c>
      <c r="F30" s="118">
        <v>60</v>
      </c>
      <c r="G30" s="118">
        <v>60</v>
      </c>
      <c r="H30" s="118"/>
      <c r="I30" s="118">
        <v>152</v>
      </c>
      <c r="J30" s="118">
        <v>152</v>
      </c>
      <c r="K30" s="118"/>
    </row>
    <row r="31" spans="1:11">
      <c r="A31" s="118" t="s">
        <v>1715</v>
      </c>
      <c r="B31" s="328" t="s">
        <v>1369</v>
      </c>
      <c r="C31" s="330"/>
      <c r="D31" s="118">
        <v>24</v>
      </c>
      <c r="E31" s="118">
        <v>12</v>
      </c>
      <c r="F31" s="118">
        <v>62</v>
      </c>
      <c r="G31" s="118">
        <v>62</v>
      </c>
      <c r="H31" s="118"/>
      <c r="I31" s="118">
        <v>165</v>
      </c>
      <c r="J31" s="118">
        <v>165</v>
      </c>
      <c r="K31" s="118"/>
    </row>
    <row r="32" spans="1:11">
      <c r="A32" s="120"/>
      <c r="B32" s="118" t="s">
        <v>31</v>
      </c>
      <c r="C32" s="118"/>
      <c r="D32" s="120"/>
      <c r="E32" s="120"/>
      <c r="F32" s="120"/>
      <c r="G32" s="120"/>
      <c r="H32" s="120"/>
      <c r="I32" s="120"/>
      <c r="J32" s="120"/>
      <c r="K32" s="120"/>
    </row>
    <row r="33" spans="1:11">
      <c r="A33" s="118" t="s">
        <v>1717</v>
      </c>
      <c r="B33" s="328" t="s">
        <v>1691</v>
      </c>
      <c r="C33" s="330"/>
      <c r="D33" s="118">
        <v>25</v>
      </c>
      <c r="E33" s="118">
        <v>9</v>
      </c>
      <c r="F33" s="118">
        <v>59</v>
      </c>
      <c r="G33" s="118">
        <v>59</v>
      </c>
      <c r="H33" s="118"/>
      <c r="I33" s="118">
        <v>142</v>
      </c>
      <c r="J33" s="118">
        <v>142</v>
      </c>
      <c r="K33" s="118"/>
    </row>
    <row r="34" spans="1:11">
      <c r="A34" s="118" t="s">
        <v>1718</v>
      </c>
      <c r="B34" s="331" t="s">
        <v>1443</v>
      </c>
      <c r="C34" s="332"/>
      <c r="D34" s="123" t="s">
        <v>1719</v>
      </c>
      <c r="E34" s="118">
        <v>11</v>
      </c>
      <c r="F34" s="118">
        <v>61</v>
      </c>
      <c r="G34" s="118">
        <v>61</v>
      </c>
      <c r="H34" s="118"/>
      <c r="I34" s="118">
        <v>154</v>
      </c>
      <c r="J34" s="118">
        <v>154</v>
      </c>
      <c r="K34" s="118"/>
    </row>
    <row r="35" spans="1:11">
      <c r="A35" s="120"/>
      <c r="B35" s="331" t="s">
        <v>1720</v>
      </c>
      <c r="C35" s="332"/>
      <c r="D35" s="120"/>
      <c r="E35" s="120"/>
      <c r="F35" s="120"/>
      <c r="G35" s="120"/>
      <c r="H35" s="120"/>
      <c r="I35" s="120"/>
      <c r="J35" s="120"/>
      <c r="K35" s="120"/>
    </row>
    <row r="36" spans="1:11">
      <c r="A36" s="118" t="s">
        <v>1721</v>
      </c>
      <c r="B36" s="328" t="s">
        <v>1416</v>
      </c>
      <c r="C36" s="330"/>
      <c r="D36" s="118">
        <v>28</v>
      </c>
      <c r="E36" s="118">
        <v>9</v>
      </c>
      <c r="F36" s="118">
        <v>58</v>
      </c>
      <c r="G36" s="118">
        <v>58</v>
      </c>
      <c r="H36" s="120"/>
      <c r="I36" s="118">
        <v>139</v>
      </c>
      <c r="J36" s="118">
        <v>139</v>
      </c>
      <c r="K36" s="118"/>
    </row>
    <row r="37" spans="1:11">
      <c r="A37" s="118" t="s">
        <v>1722</v>
      </c>
      <c r="B37" s="328" t="s">
        <v>1395</v>
      </c>
      <c r="C37" s="330"/>
      <c r="D37" s="118">
        <v>28</v>
      </c>
      <c r="E37" s="118">
        <v>12</v>
      </c>
      <c r="F37" s="118">
        <v>59</v>
      </c>
      <c r="G37" s="118">
        <v>59</v>
      </c>
      <c r="H37" s="118"/>
      <c r="I37" s="118">
        <v>146</v>
      </c>
      <c r="J37" s="118">
        <v>146</v>
      </c>
      <c r="K37" s="118"/>
    </row>
    <row r="38" spans="1:11">
      <c r="A38" s="118" t="s">
        <v>1723</v>
      </c>
      <c r="B38" s="328" t="s">
        <v>1369</v>
      </c>
      <c r="C38" s="330"/>
      <c r="D38" s="118">
        <v>28</v>
      </c>
      <c r="E38" s="118">
        <v>13</v>
      </c>
      <c r="F38" s="118">
        <v>60</v>
      </c>
      <c r="G38" s="118">
        <v>60</v>
      </c>
      <c r="H38" s="118"/>
      <c r="I38" s="118">
        <v>152</v>
      </c>
      <c r="J38" s="118">
        <v>152</v>
      </c>
      <c r="K38" s="118"/>
    </row>
    <row r="39" spans="1:11">
      <c r="A39" s="120"/>
      <c r="B39" s="121" t="s">
        <v>32</v>
      </c>
      <c r="C39" s="121"/>
      <c r="D39" s="120"/>
      <c r="E39" s="120"/>
      <c r="F39" s="120"/>
      <c r="G39" s="120"/>
      <c r="H39" s="120"/>
      <c r="I39" s="120"/>
      <c r="J39" s="120"/>
      <c r="K39" s="120"/>
    </row>
    <row r="40" spans="1:11">
      <c r="A40" s="120"/>
      <c r="B40" s="331" t="s">
        <v>1725</v>
      </c>
      <c r="C40" s="332"/>
      <c r="D40" s="120"/>
      <c r="E40" s="120"/>
      <c r="F40" s="120"/>
      <c r="G40" s="120"/>
      <c r="H40" s="120"/>
      <c r="I40" s="120"/>
      <c r="J40" s="120"/>
      <c r="K40" s="120"/>
    </row>
    <row r="41" spans="1:11">
      <c r="A41" s="118" t="s">
        <v>1726</v>
      </c>
      <c r="B41" s="328" t="s">
        <v>1367</v>
      </c>
      <c r="C41" s="350"/>
      <c r="D41" s="118">
        <v>32</v>
      </c>
      <c r="E41" s="118">
        <v>14</v>
      </c>
      <c r="F41" s="118">
        <v>59</v>
      </c>
      <c r="G41" s="118">
        <v>59</v>
      </c>
      <c r="H41" s="118"/>
      <c r="I41" s="118">
        <v>142</v>
      </c>
      <c r="J41" s="118">
        <v>142</v>
      </c>
      <c r="K41" s="118"/>
    </row>
    <row r="42" spans="1:11">
      <c r="A42" s="118" t="s">
        <v>1727</v>
      </c>
      <c r="B42" s="328" t="s">
        <v>1342</v>
      </c>
      <c r="C42" s="350"/>
      <c r="D42" s="118">
        <v>32</v>
      </c>
      <c r="E42" s="118">
        <v>17</v>
      </c>
      <c r="F42" s="118">
        <v>62</v>
      </c>
      <c r="G42" s="118">
        <v>64</v>
      </c>
      <c r="H42" s="118">
        <v>29</v>
      </c>
      <c r="I42" s="118">
        <v>164</v>
      </c>
      <c r="J42" s="118">
        <v>176</v>
      </c>
      <c r="K42" s="118">
        <v>41</v>
      </c>
    </row>
    <row r="43" spans="1:11">
      <c r="A43" s="118" t="s">
        <v>1728</v>
      </c>
      <c r="B43" s="328" t="s">
        <v>1369</v>
      </c>
      <c r="C43" s="350"/>
      <c r="D43" s="118">
        <v>32</v>
      </c>
      <c r="E43" s="118">
        <v>20</v>
      </c>
      <c r="F43" s="118">
        <v>61</v>
      </c>
      <c r="G43" s="118">
        <v>61</v>
      </c>
      <c r="H43" s="118"/>
      <c r="I43" s="118">
        <v>154</v>
      </c>
      <c r="J43" s="118">
        <v>154</v>
      </c>
      <c r="K43" s="118"/>
    </row>
    <row r="44" spans="1:11">
      <c r="A44" s="118" t="s">
        <v>1729</v>
      </c>
      <c r="B44" s="328" t="s">
        <v>1395</v>
      </c>
      <c r="C44" s="350"/>
      <c r="D44" s="118">
        <v>32</v>
      </c>
      <c r="E44" s="118">
        <v>16</v>
      </c>
      <c r="F44" s="118">
        <v>62</v>
      </c>
      <c r="G44" s="118">
        <v>62</v>
      </c>
      <c r="H44" s="118"/>
      <c r="I44" s="118">
        <v>165</v>
      </c>
      <c r="J44" s="118">
        <v>165</v>
      </c>
      <c r="K44" s="118"/>
    </row>
    <row r="45" spans="1:11">
      <c r="A45" s="118" t="s">
        <v>1730</v>
      </c>
      <c r="B45" s="328" t="s">
        <v>1406</v>
      </c>
      <c r="C45" s="350"/>
      <c r="D45" s="118">
        <v>32</v>
      </c>
      <c r="E45" s="118">
        <v>13</v>
      </c>
      <c r="F45" s="118">
        <v>60</v>
      </c>
      <c r="G45" s="118">
        <v>61</v>
      </c>
      <c r="H45" s="118">
        <v>26</v>
      </c>
      <c r="I45" s="118">
        <v>149</v>
      </c>
      <c r="J45" s="118">
        <v>159</v>
      </c>
      <c r="K45" s="118">
        <v>35</v>
      </c>
    </row>
    <row r="46" spans="1:11">
      <c r="A46" s="118" t="s">
        <v>1731</v>
      </c>
      <c r="B46" s="333" t="s">
        <v>1360</v>
      </c>
      <c r="C46" s="344"/>
      <c r="D46" s="118">
        <v>32</v>
      </c>
      <c r="E46" s="118">
        <v>12</v>
      </c>
      <c r="F46" s="118">
        <v>62</v>
      </c>
      <c r="G46" s="118">
        <v>62</v>
      </c>
      <c r="H46" s="118"/>
      <c r="I46" s="118">
        <v>163</v>
      </c>
      <c r="J46" s="118">
        <v>163</v>
      </c>
      <c r="K46" s="118"/>
    </row>
    <row r="47" spans="1:11">
      <c r="A47" s="116"/>
      <c r="B47" s="115" t="s">
        <v>33</v>
      </c>
      <c r="C47" s="115"/>
      <c r="D47" s="116"/>
      <c r="E47" s="116"/>
      <c r="F47" s="116"/>
      <c r="G47" s="116"/>
      <c r="H47" s="116"/>
      <c r="I47" s="116"/>
      <c r="J47" s="116"/>
      <c r="K47" s="116"/>
    </row>
    <row r="48" spans="1:11">
      <c r="A48" s="118" t="s">
        <v>1733</v>
      </c>
      <c r="B48" s="331" t="s">
        <v>1367</v>
      </c>
      <c r="C48" s="332"/>
      <c r="D48" s="118">
        <v>32</v>
      </c>
      <c r="E48" s="118">
        <v>12</v>
      </c>
      <c r="F48" s="118">
        <v>59</v>
      </c>
      <c r="G48" s="118">
        <v>59</v>
      </c>
      <c r="H48" s="118"/>
      <c r="I48" s="118">
        <v>140</v>
      </c>
      <c r="J48" s="118">
        <v>140</v>
      </c>
      <c r="K48" s="118"/>
    </row>
    <row r="49" spans="1:11">
      <c r="A49" s="118" t="s">
        <v>1734</v>
      </c>
      <c r="B49" s="331" t="s">
        <v>34</v>
      </c>
      <c r="C49" s="332"/>
      <c r="D49" s="118">
        <v>32</v>
      </c>
      <c r="E49" s="118">
        <v>15</v>
      </c>
      <c r="F49" s="118">
        <v>60</v>
      </c>
      <c r="G49" s="118">
        <v>60</v>
      </c>
      <c r="H49" s="118">
        <v>27</v>
      </c>
      <c r="I49" s="118">
        <v>148</v>
      </c>
      <c r="J49" s="118">
        <v>151</v>
      </c>
      <c r="K49" s="118">
        <v>36</v>
      </c>
    </row>
    <row r="50" spans="1:11">
      <c r="A50" s="118" t="s">
        <v>1735</v>
      </c>
      <c r="B50" s="331" t="s">
        <v>1369</v>
      </c>
      <c r="C50" s="332"/>
      <c r="D50" s="118">
        <v>32</v>
      </c>
      <c r="E50" s="118">
        <v>17</v>
      </c>
      <c r="F50" s="118">
        <v>59</v>
      </c>
      <c r="G50" s="118">
        <v>60</v>
      </c>
      <c r="H50" s="118">
        <v>24</v>
      </c>
      <c r="I50" s="118">
        <v>146</v>
      </c>
      <c r="J50" s="118">
        <v>150</v>
      </c>
      <c r="K50" s="118">
        <v>32</v>
      </c>
    </row>
    <row r="51" spans="1:11">
      <c r="A51" s="118" t="s">
        <v>1736</v>
      </c>
      <c r="B51" s="331" t="s">
        <v>1395</v>
      </c>
      <c r="C51" s="332"/>
      <c r="D51" s="118">
        <v>32</v>
      </c>
      <c r="E51" s="118">
        <v>15</v>
      </c>
      <c r="F51" s="118">
        <v>60</v>
      </c>
      <c r="G51" s="118">
        <v>61</v>
      </c>
      <c r="H51" s="118">
        <v>27</v>
      </c>
      <c r="I51" s="118">
        <v>148</v>
      </c>
      <c r="J51" s="118">
        <v>154</v>
      </c>
      <c r="K51" s="118">
        <v>36</v>
      </c>
    </row>
    <row r="52" spans="1:11">
      <c r="A52" s="118" t="s">
        <v>1737</v>
      </c>
      <c r="B52" s="331" t="s">
        <v>1416</v>
      </c>
      <c r="C52" s="332"/>
      <c r="D52" s="118">
        <v>32</v>
      </c>
      <c r="E52" s="118">
        <v>11</v>
      </c>
      <c r="F52" s="118">
        <v>58</v>
      </c>
      <c r="G52" s="118">
        <v>58</v>
      </c>
      <c r="H52" s="118"/>
      <c r="I52" s="118">
        <v>138</v>
      </c>
      <c r="J52" s="118">
        <v>138</v>
      </c>
      <c r="K52" s="118"/>
    </row>
    <row r="53" spans="1:11">
      <c r="A53" s="120"/>
      <c r="B53" s="118" t="s">
        <v>35</v>
      </c>
      <c r="C53" s="118"/>
      <c r="D53" s="120"/>
      <c r="E53" s="120"/>
      <c r="F53" s="120"/>
      <c r="G53" s="120"/>
      <c r="H53" s="120"/>
      <c r="I53" s="120"/>
      <c r="J53" s="120"/>
      <c r="K53" s="120"/>
    </row>
    <row r="54" spans="1:11">
      <c r="A54" s="118" t="s">
        <v>1740</v>
      </c>
      <c r="B54" s="328" t="s">
        <v>1416</v>
      </c>
      <c r="C54" s="330"/>
      <c r="D54" s="118">
        <v>33</v>
      </c>
      <c r="E54" s="118">
        <v>11</v>
      </c>
      <c r="F54" s="118">
        <v>63</v>
      </c>
      <c r="G54" s="118">
        <v>63</v>
      </c>
      <c r="H54" s="118"/>
      <c r="I54" s="118">
        <v>172</v>
      </c>
      <c r="J54" s="118">
        <v>172</v>
      </c>
      <c r="K54" s="118"/>
    </row>
    <row r="55" spans="1:11">
      <c r="A55" s="118" t="s">
        <v>1741</v>
      </c>
      <c r="B55" s="328" t="s">
        <v>1360</v>
      </c>
      <c r="C55" s="350"/>
      <c r="D55" s="118">
        <v>33</v>
      </c>
      <c r="E55" s="118">
        <v>11</v>
      </c>
      <c r="F55" s="118">
        <v>58</v>
      </c>
      <c r="G55" s="118">
        <v>58</v>
      </c>
      <c r="H55" s="118"/>
      <c r="I55" s="118">
        <v>139</v>
      </c>
      <c r="J55" s="118">
        <v>139</v>
      </c>
      <c r="K55" s="118"/>
    </row>
    <row r="56" spans="1:11">
      <c r="A56" s="118" t="s">
        <v>1742</v>
      </c>
      <c r="B56" s="328" t="s">
        <v>36</v>
      </c>
      <c r="C56" s="350"/>
      <c r="D56" s="118">
        <v>33</v>
      </c>
      <c r="E56" s="118">
        <v>9</v>
      </c>
      <c r="F56" s="118">
        <v>60</v>
      </c>
      <c r="G56" s="118">
        <v>60</v>
      </c>
      <c r="H56" s="118"/>
      <c r="I56" s="118">
        <v>149</v>
      </c>
      <c r="J56" s="118">
        <v>149</v>
      </c>
      <c r="K56" s="118"/>
    </row>
    <row r="57" spans="1:11">
      <c r="A57" s="118" t="s">
        <v>1743</v>
      </c>
      <c r="B57" s="328" t="s">
        <v>1423</v>
      </c>
      <c r="C57" s="350"/>
      <c r="D57" s="118">
        <v>33</v>
      </c>
      <c r="E57" s="118">
        <v>11</v>
      </c>
      <c r="F57" s="118">
        <v>62</v>
      </c>
      <c r="G57" s="118">
        <v>62</v>
      </c>
      <c r="H57" s="118"/>
      <c r="I57" s="118">
        <v>164</v>
      </c>
      <c r="J57" s="118">
        <v>164</v>
      </c>
      <c r="K57" s="118"/>
    </row>
    <row r="58" spans="1:11">
      <c r="A58" s="120"/>
      <c r="B58" s="118" t="s">
        <v>37</v>
      </c>
      <c r="C58" s="118"/>
      <c r="D58" s="120"/>
      <c r="E58" s="120"/>
      <c r="F58" s="120"/>
      <c r="G58" s="120"/>
      <c r="H58" s="120"/>
      <c r="I58" s="120"/>
      <c r="J58" s="120"/>
      <c r="K58" s="120"/>
    </row>
    <row r="59" spans="1:11">
      <c r="A59" s="120"/>
      <c r="B59" s="331" t="s">
        <v>38</v>
      </c>
      <c r="C59" s="332"/>
      <c r="D59" s="120"/>
      <c r="E59" s="120"/>
      <c r="F59" s="120"/>
      <c r="G59" s="120"/>
      <c r="H59" s="120"/>
      <c r="I59" s="120"/>
      <c r="J59" s="120"/>
      <c r="K59" s="120"/>
    </row>
    <row r="60" spans="1:11">
      <c r="A60" s="118">
        <v>156</v>
      </c>
      <c r="B60" s="335"/>
      <c r="C60" s="336"/>
      <c r="D60" s="118">
        <v>42</v>
      </c>
      <c r="E60" s="118">
        <v>16</v>
      </c>
      <c r="F60" s="118">
        <v>60</v>
      </c>
      <c r="G60" s="118">
        <v>60</v>
      </c>
      <c r="H60" s="118"/>
      <c r="I60" s="118">
        <v>148</v>
      </c>
      <c r="J60" s="118">
        <v>148</v>
      </c>
      <c r="K60" s="120"/>
    </row>
    <row r="61" spans="1:11">
      <c r="A61" s="118">
        <v>157</v>
      </c>
      <c r="B61" s="335"/>
      <c r="C61" s="336"/>
      <c r="D61" s="118">
        <v>42</v>
      </c>
      <c r="E61" s="118">
        <v>18</v>
      </c>
      <c r="F61" s="118">
        <v>56</v>
      </c>
      <c r="G61" s="118">
        <v>56</v>
      </c>
      <c r="H61" s="118"/>
      <c r="I61" s="118">
        <v>128</v>
      </c>
      <c r="J61" s="118">
        <v>128</v>
      </c>
      <c r="K61" s="120"/>
    </row>
    <row r="62" spans="1:11">
      <c r="A62" s="118">
        <v>158</v>
      </c>
      <c r="B62" s="335"/>
      <c r="C62" s="336"/>
      <c r="D62" s="118">
        <v>42</v>
      </c>
      <c r="E62" s="118">
        <v>24</v>
      </c>
      <c r="F62" s="118">
        <v>63</v>
      </c>
      <c r="G62" s="118">
        <v>63</v>
      </c>
      <c r="H62" s="118"/>
      <c r="I62" s="118">
        <v>173</v>
      </c>
      <c r="J62" s="118">
        <v>173</v>
      </c>
      <c r="K62" s="118"/>
    </row>
    <row r="63" spans="1:11">
      <c r="A63" s="118">
        <v>159</v>
      </c>
      <c r="B63" s="118" t="s">
        <v>39</v>
      </c>
      <c r="C63" s="118"/>
      <c r="D63" s="118">
        <v>55</v>
      </c>
      <c r="E63" s="118">
        <v>22</v>
      </c>
      <c r="F63" s="118">
        <v>56</v>
      </c>
      <c r="G63" s="118">
        <v>59</v>
      </c>
      <c r="H63" s="118">
        <v>27</v>
      </c>
      <c r="I63" s="118">
        <v>129</v>
      </c>
      <c r="J63" s="118">
        <v>146</v>
      </c>
      <c r="K63" s="118">
        <v>36</v>
      </c>
    </row>
    <row r="64" spans="1:11">
      <c r="A64" s="120"/>
      <c r="B64" s="118" t="s">
        <v>40</v>
      </c>
      <c r="C64" s="118"/>
      <c r="D64" s="120"/>
      <c r="E64" s="120"/>
      <c r="F64" s="120"/>
      <c r="G64" s="120"/>
      <c r="H64" s="120"/>
      <c r="I64" s="120"/>
      <c r="J64" s="120"/>
      <c r="K64" s="120"/>
    </row>
    <row r="65" spans="1:11">
      <c r="A65" s="118">
        <v>160</v>
      </c>
      <c r="B65" s="335"/>
      <c r="C65" s="336"/>
      <c r="D65" s="118">
        <v>60</v>
      </c>
      <c r="E65" s="118">
        <v>22</v>
      </c>
      <c r="F65" s="118">
        <v>57</v>
      </c>
      <c r="G65" s="118">
        <v>60</v>
      </c>
      <c r="H65" s="118">
        <v>26</v>
      </c>
      <c r="I65" s="118">
        <v>133</v>
      </c>
      <c r="J65" s="118">
        <v>154</v>
      </c>
      <c r="K65" s="118">
        <v>34</v>
      </c>
    </row>
    <row r="66" spans="1:11">
      <c r="A66" s="118">
        <v>161</v>
      </c>
      <c r="B66" s="335"/>
      <c r="C66" s="336"/>
      <c r="D66" s="118">
        <v>60</v>
      </c>
      <c r="E66" s="118">
        <v>32</v>
      </c>
      <c r="F66" s="118">
        <v>53</v>
      </c>
      <c r="G66" s="118">
        <v>59</v>
      </c>
      <c r="H66" s="118">
        <v>26</v>
      </c>
      <c r="I66" s="118">
        <v>112</v>
      </c>
      <c r="J66" s="118">
        <v>142</v>
      </c>
      <c r="K66" s="118">
        <v>32</v>
      </c>
    </row>
    <row r="67" spans="1:11">
      <c r="A67" s="118">
        <v>162</v>
      </c>
      <c r="B67" s="335"/>
      <c r="C67" s="336"/>
      <c r="D67" s="118">
        <v>60</v>
      </c>
      <c r="E67" s="118">
        <v>33</v>
      </c>
      <c r="F67" s="118">
        <v>56</v>
      </c>
      <c r="G67" s="118">
        <v>62</v>
      </c>
      <c r="H67" s="118">
        <v>25</v>
      </c>
      <c r="I67" s="118">
        <v>125</v>
      </c>
      <c r="J67" s="118">
        <v>167</v>
      </c>
      <c r="K67" s="118">
        <v>33</v>
      </c>
    </row>
    <row r="68" spans="1:11">
      <c r="A68" s="120"/>
      <c r="B68" s="118" t="s">
        <v>41</v>
      </c>
      <c r="C68" s="118"/>
      <c r="D68" s="120"/>
      <c r="E68" s="120"/>
      <c r="F68" s="120"/>
      <c r="G68" s="120"/>
      <c r="H68" s="120"/>
      <c r="I68" s="120"/>
      <c r="J68" s="120"/>
      <c r="K68" s="120"/>
    </row>
    <row r="69" spans="1:11">
      <c r="A69" s="118">
        <v>163</v>
      </c>
      <c r="B69" s="331"/>
      <c r="C69" s="332"/>
      <c r="D69" s="118">
        <v>65</v>
      </c>
      <c r="E69" s="118">
        <v>18</v>
      </c>
      <c r="F69" s="118">
        <v>50</v>
      </c>
      <c r="G69" s="118">
        <v>56</v>
      </c>
      <c r="H69" s="118">
        <v>25</v>
      </c>
      <c r="I69" s="118">
        <v>99</v>
      </c>
      <c r="J69" s="118">
        <v>127</v>
      </c>
      <c r="K69" s="118">
        <v>33</v>
      </c>
    </row>
    <row r="70" spans="1:11">
      <c r="A70" s="118">
        <v>164</v>
      </c>
      <c r="B70" s="335"/>
      <c r="C70" s="336"/>
      <c r="D70" s="118">
        <v>65</v>
      </c>
      <c r="E70" s="118">
        <v>23</v>
      </c>
      <c r="F70" s="118">
        <v>56</v>
      </c>
      <c r="G70" s="118">
        <v>60</v>
      </c>
      <c r="H70" s="118">
        <v>24</v>
      </c>
      <c r="I70" s="118">
        <v>130</v>
      </c>
      <c r="J70" s="118">
        <v>151</v>
      </c>
      <c r="K70" s="118">
        <v>32</v>
      </c>
    </row>
    <row r="71" spans="1:11">
      <c r="A71" s="118">
        <v>165</v>
      </c>
      <c r="B71" s="335"/>
      <c r="C71" s="336"/>
      <c r="D71" s="118">
        <v>65</v>
      </c>
      <c r="E71" s="118">
        <v>27</v>
      </c>
      <c r="F71" s="118">
        <v>55</v>
      </c>
      <c r="G71" s="118">
        <v>58</v>
      </c>
      <c r="H71" s="118">
        <v>24</v>
      </c>
      <c r="I71" s="118">
        <v>121</v>
      </c>
      <c r="J71" s="118">
        <v>136</v>
      </c>
      <c r="K71" s="118">
        <v>31</v>
      </c>
    </row>
    <row r="72" spans="1:11">
      <c r="A72" s="118">
        <v>166</v>
      </c>
      <c r="B72" s="335"/>
      <c r="C72" s="336"/>
      <c r="D72" s="118">
        <v>65</v>
      </c>
      <c r="E72" s="118">
        <v>32</v>
      </c>
      <c r="F72" s="118">
        <v>53</v>
      </c>
      <c r="G72" s="118">
        <v>57</v>
      </c>
      <c r="H72" s="118">
        <v>24</v>
      </c>
      <c r="I72" s="118">
        <v>115</v>
      </c>
      <c r="J72" s="118">
        <v>132</v>
      </c>
      <c r="K72" s="118">
        <v>32</v>
      </c>
    </row>
    <row r="73" spans="1:11">
      <c r="A73" s="120"/>
      <c r="B73" s="118" t="s">
        <v>42</v>
      </c>
      <c r="C73" s="118"/>
      <c r="D73" s="120"/>
      <c r="E73" s="120"/>
      <c r="F73" s="120"/>
      <c r="G73" s="120"/>
      <c r="H73" s="120"/>
      <c r="I73" s="120"/>
      <c r="J73" s="120"/>
      <c r="K73" s="120"/>
    </row>
    <row r="74" spans="1:11">
      <c r="A74" s="118">
        <v>170</v>
      </c>
      <c r="B74" s="335"/>
      <c r="C74" s="336"/>
      <c r="D74" s="118">
        <v>70</v>
      </c>
      <c r="E74" s="118">
        <v>17</v>
      </c>
      <c r="F74" s="118">
        <v>49</v>
      </c>
      <c r="G74" s="118">
        <v>56</v>
      </c>
      <c r="H74" s="118">
        <v>24</v>
      </c>
      <c r="I74" s="118">
        <v>96</v>
      </c>
      <c r="J74" s="118">
        <v>125</v>
      </c>
      <c r="K74" s="118">
        <v>31</v>
      </c>
    </row>
    <row r="75" spans="1:11">
      <c r="A75" s="118">
        <v>171</v>
      </c>
      <c r="B75" s="335"/>
      <c r="C75" s="336"/>
      <c r="D75" s="118">
        <v>70</v>
      </c>
      <c r="E75" s="118">
        <v>28</v>
      </c>
      <c r="F75" s="118">
        <v>51</v>
      </c>
      <c r="G75" s="118">
        <v>56</v>
      </c>
      <c r="H75" s="118">
        <v>24</v>
      </c>
      <c r="I75" s="118">
        <v>104</v>
      </c>
      <c r="J75" s="118">
        <v>129</v>
      </c>
      <c r="K75" s="118">
        <v>31</v>
      </c>
    </row>
    <row r="76" spans="1:11">
      <c r="A76" s="118">
        <v>172</v>
      </c>
      <c r="B76" s="335"/>
      <c r="C76" s="336"/>
      <c r="D76" s="118">
        <v>70</v>
      </c>
      <c r="E76" s="118">
        <v>37</v>
      </c>
      <c r="F76" s="118">
        <v>56</v>
      </c>
      <c r="G76" s="118">
        <v>60</v>
      </c>
      <c r="H76" s="118">
        <v>24</v>
      </c>
      <c r="I76" s="118">
        <v>126</v>
      </c>
      <c r="J76" s="118">
        <v>151</v>
      </c>
      <c r="K76" s="118">
        <v>32</v>
      </c>
    </row>
    <row r="77" spans="1:11">
      <c r="A77" s="118">
        <v>173</v>
      </c>
      <c r="B77" s="118" t="s">
        <v>39</v>
      </c>
      <c r="C77" s="118"/>
      <c r="D77" s="118">
        <v>71</v>
      </c>
      <c r="E77" s="118">
        <v>29</v>
      </c>
      <c r="F77" s="118">
        <v>56</v>
      </c>
      <c r="G77" s="118">
        <v>59</v>
      </c>
      <c r="H77" s="118">
        <v>25</v>
      </c>
      <c r="I77" s="118">
        <v>125</v>
      </c>
      <c r="J77" s="118">
        <v>147</v>
      </c>
      <c r="K77" s="118">
        <v>34</v>
      </c>
    </row>
    <row r="78" spans="1:11">
      <c r="A78" s="120"/>
      <c r="B78" s="118" t="s">
        <v>43</v>
      </c>
      <c r="C78" s="118"/>
      <c r="D78" s="120"/>
      <c r="E78" s="120"/>
      <c r="F78" s="120"/>
      <c r="G78" s="120"/>
      <c r="H78" s="120"/>
      <c r="I78" s="120"/>
      <c r="J78" s="120"/>
      <c r="K78" s="120"/>
    </row>
    <row r="79" spans="1:11">
      <c r="A79" s="118">
        <v>174</v>
      </c>
      <c r="B79" s="335"/>
      <c r="C79" s="336"/>
      <c r="D79" s="118">
        <v>80</v>
      </c>
      <c r="E79" s="118">
        <v>25</v>
      </c>
      <c r="F79" s="118">
        <v>48</v>
      </c>
      <c r="G79" s="118">
        <v>54</v>
      </c>
      <c r="H79" s="118">
        <v>23</v>
      </c>
      <c r="I79" s="118">
        <v>93</v>
      </c>
      <c r="J79" s="118">
        <v>115</v>
      </c>
      <c r="K79" s="118">
        <v>30</v>
      </c>
    </row>
    <row r="80" spans="1:11">
      <c r="A80" s="118">
        <v>175</v>
      </c>
      <c r="B80" s="335"/>
      <c r="C80" s="336"/>
      <c r="D80" s="118">
        <v>80</v>
      </c>
      <c r="E80" s="118">
        <v>29</v>
      </c>
      <c r="F80" s="118">
        <v>50</v>
      </c>
      <c r="G80" s="118">
        <v>54</v>
      </c>
      <c r="H80" s="118">
        <v>24</v>
      </c>
      <c r="I80" s="118">
        <v>100</v>
      </c>
      <c r="J80" s="118">
        <v>117</v>
      </c>
      <c r="K80" s="118">
        <v>32</v>
      </c>
    </row>
    <row r="81" spans="1:11">
      <c r="A81" s="118">
        <v>176</v>
      </c>
      <c r="B81" s="335"/>
      <c r="C81" s="336"/>
      <c r="D81" s="118">
        <v>80</v>
      </c>
      <c r="E81" s="118">
        <v>35</v>
      </c>
      <c r="F81" s="118">
        <v>47</v>
      </c>
      <c r="G81" s="118">
        <v>54</v>
      </c>
      <c r="H81" s="118">
        <v>25</v>
      </c>
      <c r="I81" s="118">
        <v>89</v>
      </c>
      <c r="J81" s="118">
        <v>119</v>
      </c>
      <c r="K81" s="118">
        <v>33</v>
      </c>
    </row>
    <row r="82" spans="1:11">
      <c r="A82" s="118">
        <v>177</v>
      </c>
      <c r="B82" s="337"/>
      <c r="C82" s="338"/>
      <c r="D82" s="118">
        <v>80</v>
      </c>
      <c r="E82" s="118">
        <v>39</v>
      </c>
      <c r="F82" s="118">
        <v>52</v>
      </c>
      <c r="G82" s="118">
        <v>59</v>
      </c>
      <c r="H82" s="118">
        <v>24</v>
      </c>
      <c r="I82" s="118">
        <v>109</v>
      </c>
      <c r="J82" s="118">
        <v>144</v>
      </c>
      <c r="K82" s="118">
        <v>31</v>
      </c>
    </row>
    <row r="83" spans="1:11">
      <c r="A83" s="116"/>
      <c r="B83" s="115" t="s">
        <v>44</v>
      </c>
      <c r="C83" s="115"/>
      <c r="D83" s="116"/>
      <c r="E83" s="116"/>
      <c r="F83" s="116"/>
      <c r="G83" s="116"/>
      <c r="H83" s="116"/>
      <c r="I83" s="116"/>
      <c r="J83" s="116"/>
      <c r="K83" s="116"/>
    </row>
    <row r="84" spans="1:11">
      <c r="A84" s="120"/>
      <c r="B84" s="331" t="s">
        <v>1</v>
      </c>
      <c r="C84" s="332"/>
      <c r="D84" s="120"/>
      <c r="E84" s="120"/>
      <c r="F84" s="120"/>
      <c r="G84" s="120"/>
      <c r="H84" s="120"/>
      <c r="I84" s="120"/>
      <c r="J84" s="120"/>
      <c r="K84" s="120"/>
    </row>
    <row r="85" spans="1:11">
      <c r="A85" s="118">
        <v>178</v>
      </c>
      <c r="B85" s="335"/>
      <c r="C85" s="336"/>
      <c r="D85" s="118">
        <v>81</v>
      </c>
      <c r="E85" s="118">
        <v>24</v>
      </c>
      <c r="F85" s="118">
        <v>49</v>
      </c>
      <c r="G85" s="118">
        <v>54</v>
      </c>
      <c r="H85" s="118">
        <v>23</v>
      </c>
      <c r="I85" s="118">
        <v>96</v>
      </c>
      <c r="J85" s="118">
        <v>116</v>
      </c>
      <c r="K85" s="118">
        <v>31</v>
      </c>
    </row>
    <row r="86" spans="1:11">
      <c r="A86" s="118">
        <v>179</v>
      </c>
      <c r="B86" s="335"/>
      <c r="C86" s="336"/>
      <c r="D86" s="118">
        <v>81</v>
      </c>
      <c r="E86" s="118">
        <v>27</v>
      </c>
      <c r="F86" s="118">
        <v>47</v>
      </c>
      <c r="G86" s="118">
        <v>54</v>
      </c>
      <c r="H86" s="118">
        <v>23</v>
      </c>
      <c r="I86" s="118">
        <v>90</v>
      </c>
      <c r="J86" s="118">
        <v>117</v>
      </c>
      <c r="K86" s="118">
        <v>30</v>
      </c>
    </row>
    <row r="87" spans="1:11">
      <c r="A87" s="118">
        <v>180</v>
      </c>
      <c r="B87" s="335"/>
      <c r="C87" s="336"/>
      <c r="D87" s="118">
        <v>81</v>
      </c>
      <c r="E87" s="118">
        <v>32</v>
      </c>
      <c r="F87" s="118">
        <v>54</v>
      </c>
      <c r="G87" s="118">
        <v>59</v>
      </c>
      <c r="H87" s="118">
        <v>22</v>
      </c>
      <c r="I87" s="118">
        <v>115</v>
      </c>
      <c r="J87" s="118">
        <v>146</v>
      </c>
      <c r="K87" s="118">
        <v>29</v>
      </c>
    </row>
    <row r="88" spans="1:11">
      <c r="A88" s="120"/>
      <c r="B88" s="118" t="s">
        <v>45</v>
      </c>
      <c r="C88" s="118"/>
      <c r="D88" s="120"/>
      <c r="E88" s="120"/>
      <c r="F88" s="120"/>
      <c r="G88" s="120"/>
      <c r="H88" s="120"/>
      <c r="I88" s="120"/>
      <c r="J88" s="120"/>
      <c r="K88" s="120"/>
    </row>
    <row r="89" spans="1:11">
      <c r="A89" s="118">
        <v>181</v>
      </c>
      <c r="B89" s="335"/>
      <c r="C89" s="336"/>
      <c r="D89" s="118">
        <v>82</v>
      </c>
      <c r="E89" s="118">
        <v>23</v>
      </c>
      <c r="F89" s="118">
        <v>54</v>
      </c>
      <c r="G89" s="118">
        <v>59</v>
      </c>
      <c r="H89" s="118">
        <v>25</v>
      </c>
      <c r="I89" s="118">
        <v>117</v>
      </c>
      <c r="J89" s="118">
        <v>144</v>
      </c>
      <c r="K89" s="118">
        <v>34</v>
      </c>
    </row>
    <row r="90" spans="1:11">
      <c r="A90" s="118">
        <v>182</v>
      </c>
      <c r="B90" s="331"/>
      <c r="C90" s="332"/>
      <c r="D90" s="118">
        <v>82</v>
      </c>
      <c r="E90" s="118">
        <v>26</v>
      </c>
      <c r="F90" s="118">
        <v>52</v>
      </c>
      <c r="G90" s="118">
        <v>57</v>
      </c>
      <c r="H90" s="118">
        <v>24</v>
      </c>
      <c r="I90" s="118">
        <v>107</v>
      </c>
      <c r="J90" s="118">
        <v>135</v>
      </c>
      <c r="K90" s="118">
        <v>31</v>
      </c>
    </row>
    <row r="91" spans="1:11">
      <c r="A91" s="118">
        <v>183</v>
      </c>
      <c r="B91" s="335"/>
      <c r="C91" s="336"/>
      <c r="D91" s="118">
        <v>82</v>
      </c>
      <c r="E91" s="118">
        <v>29</v>
      </c>
      <c r="F91" s="118">
        <v>50</v>
      </c>
      <c r="G91" s="118">
        <v>54</v>
      </c>
      <c r="H91" s="118">
        <v>23</v>
      </c>
      <c r="I91" s="118">
        <v>98</v>
      </c>
      <c r="J91" s="118">
        <v>119</v>
      </c>
      <c r="K91" s="118">
        <v>31</v>
      </c>
    </row>
    <row r="92" spans="1:11">
      <c r="A92" s="118">
        <v>184</v>
      </c>
      <c r="B92" s="335"/>
      <c r="C92" s="336"/>
      <c r="D92" s="118">
        <v>82</v>
      </c>
      <c r="E92" s="118">
        <v>32</v>
      </c>
      <c r="F92" s="118">
        <v>55</v>
      </c>
      <c r="G92" s="118">
        <v>58</v>
      </c>
      <c r="H92" s="118">
        <v>24</v>
      </c>
      <c r="I92" s="118">
        <v>124</v>
      </c>
      <c r="J92" s="118">
        <v>141</v>
      </c>
      <c r="K92" s="118">
        <v>32</v>
      </c>
    </row>
    <row r="93" spans="1:11">
      <c r="A93" s="118">
        <v>185</v>
      </c>
      <c r="B93" s="335"/>
      <c r="C93" s="336"/>
      <c r="D93" s="118">
        <v>82</v>
      </c>
      <c r="E93" s="118">
        <v>37</v>
      </c>
      <c r="F93" s="118">
        <v>49</v>
      </c>
      <c r="G93" s="118">
        <v>56</v>
      </c>
      <c r="H93" s="118">
        <v>24</v>
      </c>
      <c r="I93" s="118">
        <v>97</v>
      </c>
      <c r="J93" s="118">
        <v>127</v>
      </c>
      <c r="K93" s="118">
        <v>32</v>
      </c>
    </row>
    <row r="94" spans="1:11">
      <c r="A94" s="120"/>
      <c r="B94" s="331" t="s">
        <v>1443</v>
      </c>
      <c r="C94" s="332"/>
      <c r="D94" s="120"/>
      <c r="E94" s="120"/>
      <c r="F94" s="120"/>
      <c r="G94" s="120"/>
      <c r="H94" s="120"/>
      <c r="I94" s="120"/>
      <c r="J94" s="120"/>
      <c r="K94" s="120"/>
    </row>
    <row r="95" spans="1:11">
      <c r="A95" s="118">
        <v>186</v>
      </c>
      <c r="B95" s="335"/>
      <c r="C95" s="336"/>
      <c r="D95" s="118">
        <v>82</v>
      </c>
      <c r="E95" s="118">
        <v>21</v>
      </c>
      <c r="F95" s="118">
        <v>57</v>
      </c>
      <c r="G95" s="118">
        <v>59</v>
      </c>
      <c r="H95" s="118">
        <v>26</v>
      </c>
      <c r="I95" s="118">
        <v>133</v>
      </c>
      <c r="J95" s="118">
        <v>144</v>
      </c>
      <c r="K95" s="118">
        <v>36</v>
      </c>
    </row>
    <row r="96" spans="1:11">
      <c r="A96" s="118">
        <v>187</v>
      </c>
      <c r="B96" s="335"/>
      <c r="C96" s="336"/>
      <c r="D96" s="118">
        <v>82</v>
      </c>
      <c r="E96" s="118">
        <v>28</v>
      </c>
      <c r="F96" s="118">
        <v>54</v>
      </c>
      <c r="G96" s="118">
        <v>58</v>
      </c>
      <c r="H96" s="118">
        <v>24</v>
      </c>
      <c r="I96" s="118">
        <v>116</v>
      </c>
      <c r="J96" s="118">
        <v>137</v>
      </c>
      <c r="K96" s="118">
        <v>31</v>
      </c>
    </row>
    <row r="97" spans="1:11">
      <c r="A97" s="118">
        <v>188</v>
      </c>
      <c r="B97" s="335"/>
      <c r="C97" s="336"/>
      <c r="D97" s="118">
        <v>82</v>
      </c>
      <c r="E97" s="118">
        <v>37</v>
      </c>
      <c r="F97" s="118">
        <v>56</v>
      </c>
      <c r="G97" s="118">
        <v>60</v>
      </c>
      <c r="H97" s="118">
        <v>25</v>
      </c>
      <c r="I97" s="118">
        <v>126</v>
      </c>
      <c r="J97" s="118">
        <v>152</v>
      </c>
      <c r="K97" s="118">
        <v>33</v>
      </c>
    </row>
    <row r="98" spans="1:11">
      <c r="A98" s="118">
        <v>189</v>
      </c>
      <c r="B98" s="335"/>
      <c r="C98" s="336"/>
      <c r="D98" s="118">
        <v>82</v>
      </c>
      <c r="E98" s="118">
        <v>42</v>
      </c>
      <c r="F98" s="118">
        <v>56</v>
      </c>
      <c r="G98" s="118">
        <v>62</v>
      </c>
      <c r="H98" s="118">
        <v>25</v>
      </c>
      <c r="I98" s="118">
        <v>129</v>
      </c>
      <c r="J98" s="118">
        <v>162</v>
      </c>
      <c r="K98" s="118">
        <v>33</v>
      </c>
    </row>
    <row r="99" spans="1:11">
      <c r="A99" s="120"/>
      <c r="B99" s="118" t="s">
        <v>46</v>
      </c>
      <c r="C99" s="118"/>
      <c r="D99" s="120"/>
      <c r="E99" s="120"/>
      <c r="F99" s="120"/>
      <c r="G99" s="120"/>
      <c r="H99" s="120"/>
      <c r="I99" s="120"/>
      <c r="J99" s="120"/>
      <c r="K99" s="120"/>
    </row>
    <row r="100" spans="1:11">
      <c r="A100" s="118">
        <v>190</v>
      </c>
      <c r="B100" s="335"/>
      <c r="C100" s="336"/>
      <c r="D100" s="118">
        <v>84</v>
      </c>
      <c r="E100" s="118">
        <v>28</v>
      </c>
      <c r="F100" s="118">
        <v>49</v>
      </c>
      <c r="G100" s="118">
        <v>52</v>
      </c>
      <c r="H100" s="118">
        <v>23</v>
      </c>
      <c r="I100" s="118">
        <v>94</v>
      </c>
      <c r="J100" s="118">
        <v>109</v>
      </c>
      <c r="K100" s="118">
        <v>31</v>
      </c>
    </row>
    <row r="101" spans="1:11">
      <c r="A101" s="118">
        <v>191</v>
      </c>
      <c r="B101" s="335"/>
      <c r="C101" s="336"/>
      <c r="D101" s="118">
        <v>84</v>
      </c>
      <c r="E101" s="118">
        <v>36</v>
      </c>
      <c r="F101" s="118">
        <v>53</v>
      </c>
      <c r="G101" s="118">
        <v>56</v>
      </c>
      <c r="H101" s="118">
        <v>26</v>
      </c>
      <c r="I101" s="118">
        <v>111</v>
      </c>
      <c r="J101" s="118">
        <v>129</v>
      </c>
      <c r="K101" s="118">
        <v>35</v>
      </c>
    </row>
    <row r="102" spans="1:11">
      <c r="A102" s="118">
        <v>192</v>
      </c>
      <c r="B102" s="335"/>
      <c r="C102" s="336"/>
      <c r="D102" s="118">
        <v>84</v>
      </c>
      <c r="E102" s="118">
        <v>38</v>
      </c>
      <c r="F102" s="118">
        <v>53</v>
      </c>
      <c r="G102" s="118">
        <v>57</v>
      </c>
      <c r="H102" s="118">
        <v>25</v>
      </c>
      <c r="I102" s="118">
        <v>112</v>
      </c>
      <c r="J102" s="118">
        <v>133</v>
      </c>
      <c r="K102" s="118">
        <v>33</v>
      </c>
    </row>
    <row r="103" spans="1:11">
      <c r="A103" s="118">
        <v>193</v>
      </c>
      <c r="B103" s="335"/>
      <c r="C103" s="336"/>
      <c r="D103" s="118">
        <v>84</v>
      </c>
      <c r="E103" s="118">
        <v>43</v>
      </c>
      <c r="F103" s="118">
        <v>52</v>
      </c>
      <c r="G103" s="118">
        <v>59</v>
      </c>
      <c r="H103" s="118">
        <v>24</v>
      </c>
      <c r="I103" s="118">
        <v>108</v>
      </c>
      <c r="J103" s="118">
        <v>145</v>
      </c>
      <c r="K103" s="118">
        <v>32</v>
      </c>
    </row>
    <row r="104" spans="1:11">
      <c r="A104" s="118">
        <v>194</v>
      </c>
      <c r="B104" s="335"/>
      <c r="C104" s="336"/>
      <c r="D104" s="118">
        <v>84</v>
      </c>
      <c r="E104" s="118">
        <v>53</v>
      </c>
      <c r="F104" s="118">
        <v>54</v>
      </c>
      <c r="G104" s="118">
        <v>60</v>
      </c>
      <c r="H104" s="118">
        <v>25</v>
      </c>
      <c r="I104" s="118">
        <v>118</v>
      </c>
      <c r="J104" s="118">
        <v>149</v>
      </c>
      <c r="K104" s="118">
        <v>33</v>
      </c>
    </row>
    <row r="105" spans="1:11">
      <c r="A105" s="120"/>
      <c r="B105" s="118" t="s">
        <v>47</v>
      </c>
      <c r="C105" s="118"/>
      <c r="D105" s="120"/>
      <c r="E105" s="120"/>
      <c r="F105" s="120"/>
      <c r="G105" s="120"/>
      <c r="H105" s="120"/>
      <c r="I105" s="120"/>
      <c r="J105" s="120"/>
      <c r="K105" s="120"/>
    </row>
    <row r="106" spans="1:11">
      <c r="A106" s="118">
        <v>195</v>
      </c>
      <c r="B106" s="335"/>
      <c r="C106" s="336"/>
      <c r="D106" s="118">
        <v>85</v>
      </c>
      <c r="E106" s="118">
        <v>35</v>
      </c>
      <c r="F106" s="118">
        <v>51</v>
      </c>
      <c r="G106" s="118">
        <v>59</v>
      </c>
      <c r="H106" s="118">
        <v>24</v>
      </c>
      <c r="I106" s="118">
        <v>102</v>
      </c>
      <c r="J106" s="118">
        <v>143</v>
      </c>
      <c r="K106" s="118">
        <v>32</v>
      </c>
    </row>
    <row r="107" spans="1:11">
      <c r="A107" s="118">
        <v>196</v>
      </c>
      <c r="B107" s="335"/>
      <c r="C107" s="336"/>
      <c r="D107" s="118">
        <v>85</v>
      </c>
      <c r="E107" s="118">
        <v>39</v>
      </c>
      <c r="F107" s="118">
        <v>47</v>
      </c>
      <c r="G107" s="118">
        <v>58</v>
      </c>
      <c r="H107" s="118">
        <v>23</v>
      </c>
      <c r="I107" s="118">
        <v>88</v>
      </c>
      <c r="J107" s="118">
        <v>123</v>
      </c>
      <c r="K107" s="118">
        <v>31</v>
      </c>
    </row>
    <row r="108" spans="1:11">
      <c r="A108" s="118">
        <v>197</v>
      </c>
      <c r="B108" s="335"/>
      <c r="C108" s="336"/>
      <c r="D108" s="118">
        <v>85</v>
      </c>
      <c r="E108" s="118">
        <v>49</v>
      </c>
      <c r="F108" s="118">
        <v>52</v>
      </c>
      <c r="G108" s="118">
        <v>61</v>
      </c>
      <c r="H108" s="118">
        <v>25</v>
      </c>
      <c r="I108" s="118">
        <v>107</v>
      </c>
      <c r="J108" s="118">
        <v>159</v>
      </c>
      <c r="K108" s="118">
        <v>34</v>
      </c>
    </row>
    <row r="109" spans="1:11">
      <c r="A109" s="118">
        <v>198</v>
      </c>
      <c r="B109" s="335"/>
      <c r="C109" s="336"/>
      <c r="D109" s="118">
        <v>85</v>
      </c>
      <c r="E109" s="118">
        <v>52</v>
      </c>
      <c r="F109" s="118">
        <v>52</v>
      </c>
      <c r="G109" s="118">
        <v>60</v>
      </c>
      <c r="H109" s="118">
        <v>24</v>
      </c>
      <c r="I109" s="118">
        <v>107</v>
      </c>
      <c r="J109" s="118">
        <v>148</v>
      </c>
      <c r="K109" s="118">
        <v>31</v>
      </c>
    </row>
    <row r="110" spans="1:11">
      <c r="A110" s="120"/>
      <c r="B110" s="118" t="s">
        <v>48</v>
      </c>
      <c r="C110" s="118"/>
      <c r="D110" s="120"/>
      <c r="E110" s="120"/>
      <c r="F110" s="120"/>
      <c r="G110" s="120"/>
      <c r="H110" s="120"/>
      <c r="I110" s="120"/>
      <c r="J110" s="120"/>
      <c r="K110" s="120"/>
    </row>
    <row r="111" spans="1:11">
      <c r="A111" s="118">
        <v>199</v>
      </c>
      <c r="B111" s="335"/>
      <c r="C111" s="336"/>
      <c r="D111" s="118">
        <v>86</v>
      </c>
      <c r="E111" s="118">
        <v>22</v>
      </c>
      <c r="F111" s="118">
        <v>47</v>
      </c>
      <c r="G111" s="118">
        <v>53</v>
      </c>
      <c r="H111" s="118">
        <v>25</v>
      </c>
      <c r="I111" s="118">
        <v>90</v>
      </c>
      <c r="J111" s="118">
        <v>113</v>
      </c>
      <c r="K111" s="118">
        <v>33</v>
      </c>
    </row>
    <row r="112" spans="1:11">
      <c r="A112" s="118">
        <v>200</v>
      </c>
      <c r="B112" s="335"/>
      <c r="C112" s="336"/>
      <c r="D112" s="118">
        <v>86</v>
      </c>
      <c r="E112" s="118">
        <v>33</v>
      </c>
      <c r="F112" s="118">
        <v>51</v>
      </c>
      <c r="G112" s="118">
        <v>56</v>
      </c>
      <c r="H112" s="118">
        <v>24</v>
      </c>
      <c r="I112" s="118">
        <v>103</v>
      </c>
      <c r="J112" s="118">
        <v>128</v>
      </c>
      <c r="K112" s="118">
        <v>31</v>
      </c>
    </row>
    <row r="113" spans="1:11">
      <c r="A113" s="118">
        <v>201</v>
      </c>
      <c r="B113" s="335"/>
      <c r="C113" s="336"/>
      <c r="D113" s="118">
        <v>86</v>
      </c>
      <c r="E113" s="118">
        <v>43</v>
      </c>
      <c r="F113" s="118">
        <v>53</v>
      </c>
      <c r="G113" s="118">
        <v>59</v>
      </c>
      <c r="H113" s="118">
        <v>24</v>
      </c>
      <c r="I113" s="118">
        <v>111</v>
      </c>
      <c r="J113" s="118">
        <v>144</v>
      </c>
      <c r="K113" s="118">
        <v>31</v>
      </c>
    </row>
    <row r="114" spans="1:11">
      <c r="A114" s="118">
        <v>202</v>
      </c>
      <c r="B114" s="118" t="s">
        <v>39</v>
      </c>
      <c r="C114" s="118"/>
      <c r="D114" s="118">
        <v>91</v>
      </c>
      <c r="E114" s="118">
        <v>36</v>
      </c>
      <c r="F114" s="118">
        <v>51</v>
      </c>
      <c r="G114" s="118">
        <v>60</v>
      </c>
      <c r="H114" s="118">
        <v>26</v>
      </c>
      <c r="I114" s="118">
        <v>104</v>
      </c>
      <c r="J114" s="118">
        <v>148</v>
      </c>
      <c r="K114" s="118">
        <v>36</v>
      </c>
    </row>
    <row r="115" spans="1:11">
      <c r="A115" s="120"/>
      <c r="B115" s="118" t="s">
        <v>43</v>
      </c>
      <c r="C115" s="118"/>
      <c r="D115" s="120"/>
      <c r="E115" s="120"/>
      <c r="F115" s="120"/>
      <c r="G115" s="120"/>
      <c r="H115" s="120"/>
      <c r="I115" s="120"/>
      <c r="J115" s="120"/>
      <c r="K115" s="120"/>
    </row>
    <row r="116" spans="1:11">
      <c r="A116" s="118">
        <v>203</v>
      </c>
      <c r="B116" s="335"/>
      <c r="C116" s="336"/>
      <c r="D116" s="118">
        <v>101</v>
      </c>
      <c r="E116" s="118">
        <v>31</v>
      </c>
      <c r="F116" s="118">
        <v>51</v>
      </c>
      <c r="G116" s="118">
        <v>58</v>
      </c>
      <c r="H116" s="118">
        <v>24</v>
      </c>
      <c r="I116" s="118">
        <v>105</v>
      </c>
      <c r="J116" s="118">
        <v>133</v>
      </c>
      <c r="K116" s="118">
        <v>31</v>
      </c>
    </row>
    <row r="117" spans="1:11">
      <c r="A117" s="118">
        <v>204</v>
      </c>
      <c r="B117" s="335"/>
      <c r="C117" s="336"/>
      <c r="D117" s="118">
        <v>97</v>
      </c>
      <c r="E117" s="118">
        <v>36</v>
      </c>
      <c r="F117" s="118">
        <v>49</v>
      </c>
      <c r="G117" s="118">
        <v>59</v>
      </c>
      <c r="H117" s="118">
        <v>24</v>
      </c>
      <c r="I117" s="118">
        <v>97</v>
      </c>
      <c r="J117" s="118">
        <v>141</v>
      </c>
      <c r="K117" s="118">
        <v>32</v>
      </c>
    </row>
    <row r="118" spans="1:11">
      <c r="A118" s="118">
        <v>205</v>
      </c>
      <c r="B118" s="335"/>
      <c r="C118" s="336"/>
      <c r="D118" s="118">
        <v>97</v>
      </c>
      <c r="E118" s="118">
        <v>42</v>
      </c>
      <c r="F118" s="118">
        <v>51</v>
      </c>
      <c r="G118" s="118">
        <v>59</v>
      </c>
      <c r="H118" s="118">
        <v>24</v>
      </c>
      <c r="I118" s="118">
        <v>104</v>
      </c>
      <c r="J118" s="118">
        <v>142</v>
      </c>
      <c r="K118" s="118">
        <v>32</v>
      </c>
    </row>
    <row r="119" spans="1:11">
      <c r="A119" s="118">
        <v>206</v>
      </c>
      <c r="B119" s="335"/>
      <c r="C119" s="336"/>
      <c r="D119" s="118">
        <v>98</v>
      </c>
      <c r="E119" s="118">
        <v>50</v>
      </c>
      <c r="F119" s="118">
        <v>51</v>
      </c>
      <c r="G119" s="118">
        <v>58</v>
      </c>
      <c r="H119" s="118">
        <v>26</v>
      </c>
      <c r="I119" s="118">
        <v>104</v>
      </c>
      <c r="J119" s="118">
        <v>141</v>
      </c>
      <c r="K119" s="118">
        <v>34</v>
      </c>
    </row>
    <row r="120" spans="1:11">
      <c r="A120" s="118">
        <v>207</v>
      </c>
      <c r="B120" s="331" t="s">
        <v>1443</v>
      </c>
      <c r="C120" s="332"/>
      <c r="D120" s="118">
        <v>113</v>
      </c>
      <c r="E120" s="118">
        <v>50</v>
      </c>
      <c r="F120" s="118">
        <v>51</v>
      </c>
      <c r="G120" s="118">
        <v>60</v>
      </c>
      <c r="H120" s="118">
        <v>24</v>
      </c>
      <c r="I120" s="118">
        <v>102</v>
      </c>
      <c r="J120" s="118">
        <v>151</v>
      </c>
      <c r="K120" s="118">
        <v>32</v>
      </c>
    </row>
    <row r="121" spans="1:11">
      <c r="A121" s="120"/>
      <c r="B121" s="134" t="s">
        <v>16</v>
      </c>
      <c r="C121" s="121"/>
      <c r="D121" s="120"/>
      <c r="E121" s="120"/>
      <c r="F121" s="118" t="s">
        <v>1542</v>
      </c>
      <c r="G121" s="120"/>
      <c r="H121" s="120"/>
      <c r="I121" s="120"/>
      <c r="J121" s="120"/>
      <c r="K121" s="120"/>
    </row>
    <row r="122" spans="1:11">
      <c r="A122" s="118">
        <v>208</v>
      </c>
      <c r="B122" s="335"/>
      <c r="C122" s="336"/>
      <c r="D122" s="118">
        <v>119</v>
      </c>
      <c r="E122" s="118">
        <v>29</v>
      </c>
      <c r="F122" s="118">
        <v>51</v>
      </c>
      <c r="G122" s="118">
        <v>58</v>
      </c>
      <c r="H122" s="118">
        <v>26</v>
      </c>
      <c r="I122" s="118">
        <v>105</v>
      </c>
      <c r="J122" s="118">
        <v>138</v>
      </c>
      <c r="K122" s="118">
        <v>35</v>
      </c>
    </row>
    <row r="123" spans="1:11">
      <c r="A123" s="118">
        <v>209</v>
      </c>
      <c r="B123" s="335"/>
      <c r="C123" s="336"/>
      <c r="D123" s="118">
        <v>119</v>
      </c>
      <c r="E123" s="118">
        <v>40</v>
      </c>
      <c r="F123" s="118">
        <v>51</v>
      </c>
      <c r="G123" s="118">
        <v>61</v>
      </c>
      <c r="H123" s="118">
        <v>26</v>
      </c>
      <c r="I123" s="118">
        <v>103</v>
      </c>
      <c r="J123" s="118">
        <v>160</v>
      </c>
      <c r="K123" s="118">
        <v>34</v>
      </c>
    </row>
    <row r="124" spans="1:11">
      <c r="A124" s="118">
        <v>210</v>
      </c>
      <c r="B124" s="335"/>
      <c r="C124" s="336"/>
      <c r="D124" s="118">
        <v>119</v>
      </c>
      <c r="E124" s="118">
        <v>41</v>
      </c>
      <c r="F124" s="118">
        <v>52</v>
      </c>
      <c r="G124" s="118">
        <v>62</v>
      </c>
      <c r="H124" s="118">
        <v>26</v>
      </c>
      <c r="I124" s="118">
        <v>110</v>
      </c>
      <c r="J124" s="118">
        <v>164</v>
      </c>
      <c r="K124" s="118">
        <v>35</v>
      </c>
    </row>
  </sheetData>
  <mergeCells count="99">
    <mergeCell ref="B124:C124"/>
    <mergeCell ref="B116:C116"/>
    <mergeCell ref="B117:C117"/>
    <mergeCell ref="B118:C118"/>
    <mergeCell ref="B119:C119"/>
    <mergeCell ref="B120:C120"/>
    <mergeCell ref="B122:C122"/>
    <mergeCell ref="B109:C109"/>
    <mergeCell ref="B111:C111"/>
    <mergeCell ref="B112:C112"/>
    <mergeCell ref="B113:C113"/>
    <mergeCell ref="B123:C123"/>
    <mergeCell ref="B103:C103"/>
    <mergeCell ref="B104:C104"/>
    <mergeCell ref="B106:C106"/>
    <mergeCell ref="B107:C107"/>
    <mergeCell ref="B108:C108"/>
    <mergeCell ref="B97:C97"/>
    <mergeCell ref="B98:C98"/>
    <mergeCell ref="B100:C100"/>
    <mergeCell ref="B101:C101"/>
    <mergeCell ref="B102:C102"/>
    <mergeCell ref="B92:C92"/>
    <mergeCell ref="B93:C93"/>
    <mergeCell ref="B94:C94"/>
    <mergeCell ref="B95:C95"/>
    <mergeCell ref="B96:C96"/>
    <mergeCell ref="B86:C86"/>
    <mergeCell ref="B87:C87"/>
    <mergeCell ref="B89:C89"/>
    <mergeCell ref="B90:C90"/>
    <mergeCell ref="B91:C91"/>
    <mergeCell ref="B80:C80"/>
    <mergeCell ref="B81:C81"/>
    <mergeCell ref="B82:C82"/>
    <mergeCell ref="B84:C84"/>
    <mergeCell ref="B85:C85"/>
    <mergeCell ref="B72:C72"/>
    <mergeCell ref="B74:C74"/>
    <mergeCell ref="B75:C75"/>
    <mergeCell ref="B76:C76"/>
    <mergeCell ref="B79:C79"/>
    <mergeCell ref="B66:C66"/>
    <mergeCell ref="B67:C67"/>
    <mergeCell ref="B69:C69"/>
    <mergeCell ref="B70:C70"/>
    <mergeCell ref="B71:C71"/>
    <mergeCell ref="B59:C59"/>
    <mergeCell ref="B60:C60"/>
    <mergeCell ref="B61:C61"/>
    <mergeCell ref="B62:C62"/>
    <mergeCell ref="B65:C65"/>
    <mergeCell ref="B52:C52"/>
    <mergeCell ref="B54:C54"/>
    <mergeCell ref="B55:C55"/>
    <mergeCell ref="B56:C56"/>
    <mergeCell ref="B57:C57"/>
    <mergeCell ref="B46:C46"/>
    <mergeCell ref="B48:C48"/>
    <mergeCell ref="B49:C49"/>
    <mergeCell ref="B50:C50"/>
    <mergeCell ref="B51:C51"/>
    <mergeCell ref="B41:C41"/>
    <mergeCell ref="B42:C42"/>
    <mergeCell ref="B43:C43"/>
    <mergeCell ref="B44:C44"/>
    <mergeCell ref="B45:C45"/>
    <mergeCell ref="B35:C35"/>
    <mergeCell ref="B36:C36"/>
    <mergeCell ref="B37:C37"/>
    <mergeCell ref="B38:C38"/>
    <mergeCell ref="B40:C40"/>
    <mergeCell ref="B29:C29"/>
    <mergeCell ref="B30:C30"/>
    <mergeCell ref="B31:C31"/>
    <mergeCell ref="B33:C33"/>
    <mergeCell ref="B34:C34"/>
    <mergeCell ref="B22:C22"/>
    <mergeCell ref="B23:C23"/>
    <mergeCell ref="B25:C25"/>
    <mergeCell ref="B26:C26"/>
    <mergeCell ref="B27:C27"/>
    <mergeCell ref="B17:C17"/>
    <mergeCell ref="B18:C18"/>
    <mergeCell ref="B19:C19"/>
    <mergeCell ref="B20:C20"/>
    <mergeCell ref="B21:C21"/>
    <mergeCell ref="B10:C10"/>
    <mergeCell ref="B12:C12"/>
    <mergeCell ref="B13:C13"/>
    <mergeCell ref="B15:C15"/>
    <mergeCell ref="B16:C16"/>
    <mergeCell ref="A6:A8"/>
    <mergeCell ref="D6:D8"/>
    <mergeCell ref="F6:J6"/>
    <mergeCell ref="F7:H7"/>
    <mergeCell ref="I7:K7"/>
    <mergeCell ref="E6:E8"/>
    <mergeCell ref="B6:C8"/>
  </mergeCells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AA51"/>
  <sheetViews>
    <sheetView topLeftCell="A27" zoomScale="75" workbookViewId="0">
      <selection activeCell="A48" sqref="A48"/>
    </sheetView>
  </sheetViews>
  <sheetFormatPr baseColWidth="10" defaultRowHeight="12.75"/>
  <cols>
    <col min="1" max="1" width="22.85546875" customWidth="1"/>
    <col min="2" max="2" width="7.140625" bestFit="1" customWidth="1"/>
    <col min="3" max="3" width="9.7109375" bestFit="1" customWidth="1"/>
    <col min="4" max="4" width="12.140625" bestFit="1" customWidth="1"/>
    <col min="6" max="6" width="11" bestFit="1" customWidth="1"/>
    <col min="7" max="7" width="13.140625" bestFit="1" customWidth="1"/>
    <col min="8" max="8" width="12" bestFit="1" customWidth="1"/>
    <col min="9" max="9" width="11" bestFit="1" customWidth="1"/>
    <col min="10" max="10" width="10.140625" bestFit="1" customWidth="1"/>
    <col min="11" max="11" width="7.28515625" bestFit="1" customWidth="1"/>
    <col min="12" max="12" width="8.7109375" bestFit="1" customWidth="1"/>
    <col min="13" max="13" width="14.85546875" bestFit="1" customWidth="1"/>
    <col min="14" max="14" width="5.28515625" bestFit="1" customWidth="1"/>
    <col min="15" max="15" width="12" bestFit="1" customWidth="1"/>
    <col min="16" max="16" width="11" bestFit="1" customWidth="1"/>
    <col min="17" max="17" width="10.140625" bestFit="1" customWidth="1"/>
    <col min="18" max="18" width="7.28515625" bestFit="1" customWidth="1"/>
    <col min="19" max="19" width="8.7109375" bestFit="1" customWidth="1"/>
    <col min="20" max="22" width="17.85546875" customWidth="1"/>
    <col min="25" max="27" width="11.42578125" style="278"/>
  </cols>
  <sheetData>
    <row r="1" spans="1:27">
      <c r="A1" s="187" t="s">
        <v>1020</v>
      </c>
      <c r="B1" s="188" t="s">
        <v>1021</v>
      </c>
      <c r="C1" s="188" t="s">
        <v>1022</v>
      </c>
      <c r="D1" s="188" t="s">
        <v>1023</v>
      </c>
      <c r="E1" s="188" t="s">
        <v>1024</v>
      </c>
      <c r="F1" s="188" t="s">
        <v>823</v>
      </c>
      <c r="G1" s="188" t="s">
        <v>1025</v>
      </c>
      <c r="H1" s="188" t="s">
        <v>1026</v>
      </c>
      <c r="I1" s="188" t="s">
        <v>1027</v>
      </c>
      <c r="J1" s="188" t="s">
        <v>1028</v>
      </c>
      <c r="K1" s="188" t="s">
        <v>1029</v>
      </c>
      <c r="L1" s="188" t="s">
        <v>1030</v>
      </c>
      <c r="M1" s="188" t="s">
        <v>1031</v>
      </c>
      <c r="N1" s="188" t="s">
        <v>1032</v>
      </c>
      <c r="O1" s="188" t="s">
        <v>1026</v>
      </c>
      <c r="P1" s="188" t="s">
        <v>1027</v>
      </c>
      <c r="Q1" s="188" t="s">
        <v>1028</v>
      </c>
      <c r="R1" s="188" t="s">
        <v>1029</v>
      </c>
      <c r="S1" s="188" t="s">
        <v>1030</v>
      </c>
      <c r="T1" s="188" t="s">
        <v>1031</v>
      </c>
      <c r="U1" s="188" t="s">
        <v>1033</v>
      </c>
      <c r="V1" s="188" t="s">
        <v>1034</v>
      </c>
      <c r="W1" s="187"/>
      <c r="X1" s="187"/>
      <c r="Y1" s="279" t="s">
        <v>1012</v>
      </c>
      <c r="Z1" s="279"/>
      <c r="AA1" s="279" t="s">
        <v>1013</v>
      </c>
    </row>
    <row r="2" spans="1:27">
      <c r="A2" s="189"/>
      <c r="B2" s="189" t="s">
        <v>1035</v>
      </c>
      <c r="C2" s="189"/>
      <c r="D2" s="190" t="s">
        <v>1664</v>
      </c>
      <c r="E2" s="190" t="s">
        <v>1036</v>
      </c>
      <c r="F2" s="190" t="s">
        <v>1037</v>
      </c>
      <c r="G2" s="190" t="s">
        <v>1038</v>
      </c>
      <c r="H2" s="191" t="s">
        <v>1039</v>
      </c>
      <c r="I2" s="191"/>
      <c r="J2" s="191"/>
      <c r="K2" s="191"/>
      <c r="L2" s="191"/>
      <c r="M2" s="191"/>
      <c r="N2" s="192"/>
      <c r="O2" s="353" t="s">
        <v>1040</v>
      </c>
      <c r="P2" s="354"/>
      <c r="Q2" s="354"/>
      <c r="R2" s="354"/>
      <c r="S2" s="354"/>
      <c r="T2" s="354"/>
      <c r="U2" s="193"/>
      <c r="V2" s="194"/>
      <c r="Y2" s="280"/>
      <c r="Z2" s="280"/>
    </row>
    <row r="3" spans="1:27">
      <c r="A3" s="195" t="s">
        <v>1041</v>
      </c>
      <c r="B3" s="196">
        <v>28</v>
      </c>
      <c r="C3" s="196">
        <v>2911</v>
      </c>
      <c r="D3" s="196">
        <v>6.4</v>
      </c>
      <c r="E3" s="196">
        <v>7.7</v>
      </c>
      <c r="F3" s="196"/>
      <c r="G3" s="196">
        <v>30.2</v>
      </c>
      <c r="H3" s="196">
        <v>9.6</v>
      </c>
      <c r="I3" s="196">
        <v>1.9</v>
      </c>
      <c r="J3" s="196">
        <v>3.3</v>
      </c>
      <c r="K3" s="196"/>
      <c r="L3" s="196">
        <v>2.2999999999999998</v>
      </c>
      <c r="M3" s="196">
        <v>7</v>
      </c>
      <c r="N3" s="196">
        <v>2.2999999999999998</v>
      </c>
      <c r="O3" s="196">
        <v>0.78</v>
      </c>
      <c r="P3" s="196">
        <v>0.09</v>
      </c>
      <c r="Q3" s="196">
        <v>0.68</v>
      </c>
      <c r="R3" s="196"/>
      <c r="S3" s="196">
        <v>0.9</v>
      </c>
      <c r="T3" s="196">
        <v>0.96</v>
      </c>
      <c r="U3" s="352" t="s">
        <v>1042</v>
      </c>
      <c r="V3" s="352" t="s">
        <v>1043</v>
      </c>
      <c r="W3" s="198"/>
      <c r="X3" s="198"/>
      <c r="Y3" s="281">
        <f>J3/M3</f>
        <v>0.47142857142857142</v>
      </c>
      <c r="Z3" s="278">
        <f>Y3+1</f>
        <v>1.4714285714285715</v>
      </c>
      <c r="AA3" s="278">
        <f>Y3/Z3</f>
        <v>0.32038834951456308</v>
      </c>
    </row>
    <row r="4" spans="1:27">
      <c r="A4" s="195" t="s">
        <v>1041</v>
      </c>
      <c r="B4" s="196">
        <v>47</v>
      </c>
      <c r="C4" s="196">
        <v>845</v>
      </c>
      <c r="D4" s="196">
        <v>12</v>
      </c>
      <c r="E4" s="196">
        <v>12.1</v>
      </c>
      <c r="F4" s="196"/>
      <c r="G4" s="196">
        <v>75.5</v>
      </c>
      <c r="H4" s="196">
        <v>27.1</v>
      </c>
      <c r="I4" s="196">
        <v>3.3</v>
      </c>
      <c r="J4" s="196">
        <v>6.8</v>
      </c>
      <c r="K4" s="196"/>
      <c r="L4" s="196">
        <v>3.5</v>
      </c>
      <c r="M4" s="196">
        <v>11</v>
      </c>
      <c r="N4" s="196">
        <v>5</v>
      </c>
      <c r="O4" s="196">
        <v>1.79</v>
      </c>
      <c r="P4" s="196">
        <v>0.1</v>
      </c>
      <c r="Q4" s="196">
        <v>0.77</v>
      </c>
      <c r="R4" s="196"/>
      <c r="S4" s="196">
        <v>1.38</v>
      </c>
      <c r="T4" s="196">
        <v>1.07</v>
      </c>
      <c r="U4" s="352"/>
      <c r="V4" s="352"/>
      <c r="W4" s="198"/>
      <c r="X4" s="198"/>
      <c r="Y4" s="281">
        <f t="shared" ref="Y4:Y41" si="0">J4/M4</f>
        <v>0.61818181818181817</v>
      </c>
      <c r="Z4" s="278">
        <f t="shared" ref="Z4:Z41" si="1">Y4+1</f>
        <v>1.6181818181818182</v>
      </c>
      <c r="AA4" s="278">
        <f t="shared" ref="AA4:AA41" si="2">Y4/Z4</f>
        <v>0.38202247191011235</v>
      </c>
    </row>
    <row r="5" spans="1:27">
      <c r="A5" s="195" t="s">
        <v>1041</v>
      </c>
      <c r="B5" s="196">
        <v>45</v>
      </c>
      <c r="C5" s="196">
        <v>1420</v>
      </c>
      <c r="D5" s="196">
        <v>15.4</v>
      </c>
      <c r="E5" s="196">
        <v>19.899999999999999</v>
      </c>
      <c r="F5" s="196"/>
      <c r="G5" s="196">
        <v>148.80000000000001</v>
      </c>
      <c r="H5" s="196">
        <v>55.6</v>
      </c>
      <c r="I5" s="196">
        <v>5.3</v>
      </c>
      <c r="J5" s="196">
        <v>7.4</v>
      </c>
      <c r="K5" s="196"/>
      <c r="L5" s="196">
        <v>4.4000000000000004</v>
      </c>
      <c r="M5" s="196">
        <v>19.3</v>
      </c>
      <c r="N5" s="196">
        <v>5.9</v>
      </c>
      <c r="O5" s="196">
        <v>2.35</v>
      </c>
      <c r="P5" s="196">
        <v>0.13</v>
      </c>
      <c r="Q5" s="196">
        <v>0.87</v>
      </c>
      <c r="R5" s="196"/>
      <c r="S5" s="196">
        <v>1.74</v>
      </c>
      <c r="T5" s="196">
        <v>1.29</v>
      </c>
      <c r="U5" s="352"/>
      <c r="V5" s="352"/>
      <c r="W5" s="198"/>
      <c r="X5" s="198"/>
      <c r="Y5" s="281">
        <f t="shared" si="0"/>
        <v>0.38341968911917101</v>
      </c>
      <c r="Z5" s="278">
        <f t="shared" si="1"/>
        <v>1.383419689119171</v>
      </c>
      <c r="AA5" s="278">
        <f t="shared" si="2"/>
        <v>0.27715355805243447</v>
      </c>
    </row>
    <row r="6" spans="1:27">
      <c r="A6" s="195" t="s">
        <v>1041</v>
      </c>
      <c r="B6" s="196">
        <v>17</v>
      </c>
      <c r="C6" s="196"/>
      <c r="D6" s="196">
        <v>5.4</v>
      </c>
      <c r="E6" s="196"/>
      <c r="F6" s="196"/>
      <c r="G6" s="196"/>
      <c r="H6" s="351">
        <v>28.6</v>
      </c>
      <c r="I6" s="351"/>
      <c r="J6" s="196">
        <v>14.2</v>
      </c>
      <c r="K6" s="196"/>
      <c r="L6" s="196">
        <v>7.3</v>
      </c>
      <c r="M6" s="196"/>
      <c r="N6" s="196"/>
      <c r="O6" s="196"/>
      <c r="P6" s="196"/>
      <c r="Q6" s="196"/>
      <c r="R6" s="196"/>
      <c r="S6" s="196"/>
      <c r="T6" s="196"/>
      <c r="U6" s="199"/>
      <c r="V6" s="352" t="s">
        <v>1044</v>
      </c>
      <c r="W6" s="198"/>
      <c r="X6" s="198"/>
      <c r="Y6" s="281"/>
    </row>
    <row r="7" spans="1:27">
      <c r="A7" s="195" t="s">
        <v>1041</v>
      </c>
      <c r="B7" s="196">
        <v>17</v>
      </c>
      <c r="C7" s="196"/>
      <c r="D7" s="196">
        <v>5.5</v>
      </c>
      <c r="E7" s="196"/>
      <c r="F7" s="196"/>
      <c r="G7" s="196"/>
      <c r="H7" s="351">
        <v>30.4</v>
      </c>
      <c r="I7" s="351"/>
      <c r="J7" s="196">
        <v>14.2</v>
      </c>
      <c r="K7" s="196"/>
      <c r="L7" s="196">
        <v>5.7</v>
      </c>
      <c r="M7" s="196"/>
      <c r="N7" s="196"/>
      <c r="O7" s="196"/>
      <c r="P7" s="196"/>
      <c r="Q7" s="196"/>
      <c r="R7" s="196"/>
      <c r="S7" s="196"/>
      <c r="T7" s="196"/>
      <c r="U7" s="199"/>
      <c r="V7" s="352"/>
      <c r="W7" s="198"/>
      <c r="X7" s="198"/>
      <c r="Y7" s="281"/>
    </row>
    <row r="8" spans="1:27">
      <c r="A8" s="195" t="s">
        <v>1041</v>
      </c>
      <c r="B8" s="196">
        <v>17</v>
      </c>
      <c r="C8" s="196"/>
      <c r="D8" s="196">
        <v>5.7</v>
      </c>
      <c r="E8" s="196"/>
      <c r="F8" s="196"/>
      <c r="G8" s="196"/>
      <c r="H8" s="351">
        <v>27.1</v>
      </c>
      <c r="I8" s="351"/>
      <c r="J8" s="196">
        <v>17.8</v>
      </c>
      <c r="K8" s="196"/>
      <c r="L8" s="196">
        <v>7.7</v>
      </c>
      <c r="M8" s="196"/>
      <c r="N8" s="196"/>
      <c r="O8" s="196"/>
      <c r="P8" s="196"/>
      <c r="Q8" s="196"/>
      <c r="R8" s="196"/>
      <c r="S8" s="196"/>
      <c r="T8" s="196"/>
      <c r="U8" s="199"/>
      <c r="V8" s="352"/>
      <c r="W8" s="198"/>
      <c r="X8" s="198"/>
      <c r="Y8" s="281"/>
    </row>
    <row r="9" spans="1:27">
      <c r="A9" s="195" t="s">
        <v>1041</v>
      </c>
      <c r="B9" s="196">
        <v>17</v>
      </c>
      <c r="C9" s="196"/>
      <c r="D9" s="196">
        <v>5.6</v>
      </c>
      <c r="E9" s="196"/>
      <c r="F9" s="196"/>
      <c r="G9" s="196"/>
      <c r="H9" s="351">
        <v>33.200000000000003</v>
      </c>
      <c r="I9" s="351"/>
      <c r="J9" s="196">
        <v>13.1</v>
      </c>
      <c r="K9" s="196"/>
      <c r="L9" s="196">
        <v>7.8</v>
      </c>
      <c r="M9" s="196"/>
      <c r="N9" s="196"/>
      <c r="O9" s="196"/>
      <c r="P9" s="196"/>
      <c r="Q9" s="196"/>
      <c r="R9" s="196"/>
      <c r="S9" s="196"/>
      <c r="T9" s="196"/>
      <c r="U9" s="199"/>
      <c r="V9" s="352"/>
      <c r="W9" s="198"/>
      <c r="X9" s="198"/>
      <c r="Y9" s="281"/>
    </row>
    <row r="10" spans="1:27" ht="48">
      <c r="A10" s="195" t="s">
        <v>1074</v>
      </c>
      <c r="B10" s="196">
        <v>85</v>
      </c>
      <c r="C10" s="196">
        <v>1020</v>
      </c>
      <c r="D10" s="196">
        <v>25</v>
      </c>
      <c r="E10" s="196"/>
      <c r="F10" s="196"/>
      <c r="G10" s="196"/>
      <c r="H10" s="351">
        <v>114.6</v>
      </c>
      <c r="I10" s="351"/>
      <c r="J10" s="196">
        <v>17.3</v>
      </c>
      <c r="K10" s="196"/>
      <c r="L10" s="196">
        <v>2.2999999999999998</v>
      </c>
      <c r="M10" s="196">
        <v>173.6</v>
      </c>
      <c r="N10" s="196"/>
      <c r="O10" s="196"/>
      <c r="P10" s="196"/>
      <c r="Q10" s="196"/>
      <c r="R10" s="196">
        <v>0.23</v>
      </c>
      <c r="S10" s="196">
        <v>0.14000000000000001</v>
      </c>
      <c r="T10" s="196">
        <v>1.84</v>
      </c>
      <c r="U10" s="197" t="s">
        <v>1045</v>
      </c>
      <c r="V10" s="197" t="s">
        <v>1046</v>
      </c>
      <c r="W10" s="198"/>
      <c r="X10" s="198"/>
      <c r="Y10" s="281">
        <f t="shared" si="0"/>
        <v>9.9654377880184344E-2</v>
      </c>
      <c r="Z10" s="278">
        <f t="shared" si="1"/>
        <v>1.0996543778801844</v>
      </c>
      <c r="AA10" s="278">
        <f t="shared" si="2"/>
        <v>9.0623363017286546E-2</v>
      </c>
    </row>
    <row r="11" spans="1:27" ht="48">
      <c r="A11" s="195" t="s">
        <v>1075</v>
      </c>
      <c r="B11" s="196">
        <v>80</v>
      </c>
      <c r="C11" s="196">
        <v>832</v>
      </c>
      <c r="D11" s="196" t="s">
        <v>1047</v>
      </c>
      <c r="E11" s="196">
        <v>47.9</v>
      </c>
      <c r="F11" s="196">
        <v>11.9</v>
      </c>
      <c r="G11" s="196"/>
      <c r="H11" s="196">
        <v>130.4</v>
      </c>
      <c r="I11" s="196">
        <v>15.7</v>
      </c>
      <c r="J11" s="196">
        <v>35</v>
      </c>
      <c r="K11" s="196">
        <v>0</v>
      </c>
      <c r="L11" s="196">
        <v>11.5</v>
      </c>
      <c r="M11" s="196"/>
      <c r="N11" s="196"/>
      <c r="O11" s="351">
        <v>4.26</v>
      </c>
      <c r="P11" s="351"/>
      <c r="Q11" s="196">
        <v>4.83</v>
      </c>
      <c r="R11" s="196">
        <v>0</v>
      </c>
      <c r="S11" s="196">
        <v>2.14</v>
      </c>
      <c r="T11" s="196"/>
      <c r="U11" s="197" t="s">
        <v>1048</v>
      </c>
      <c r="V11" s="197" t="s">
        <v>1049</v>
      </c>
      <c r="W11" s="198"/>
      <c r="X11" s="198"/>
      <c r="Y11" s="281"/>
    </row>
    <row r="12" spans="1:27">
      <c r="A12" s="195" t="s">
        <v>1041</v>
      </c>
      <c r="B12" s="196">
        <v>13</v>
      </c>
      <c r="C12" s="196">
        <v>1131</v>
      </c>
      <c r="D12" s="196">
        <v>5.5</v>
      </c>
      <c r="E12" s="196">
        <v>7.7</v>
      </c>
      <c r="F12" s="196"/>
      <c r="G12" s="196"/>
      <c r="H12" s="196">
        <v>8</v>
      </c>
      <c r="I12" s="196">
        <v>1.6</v>
      </c>
      <c r="J12" s="196">
        <v>4.9000000000000004</v>
      </c>
      <c r="K12" s="196">
        <v>0</v>
      </c>
      <c r="L12" s="196">
        <v>3.6</v>
      </c>
      <c r="M12" s="196">
        <v>0.9</v>
      </c>
      <c r="N12" s="196"/>
      <c r="O12" s="196"/>
      <c r="P12" s="196"/>
      <c r="Q12" s="196"/>
      <c r="R12" s="196"/>
      <c r="S12" s="196">
        <v>1.17</v>
      </c>
      <c r="T12" s="196"/>
      <c r="U12" s="352" t="s">
        <v>1050</v>
      </c>
      <c r="V12" s="352" t="s">
        <v>1051</v>
      </c>
      <c r="W12" s="198"/>
      <c r="X12" s="198"/>
      <c r="Y12" s="281"/>
    </row>
    <row r="13" spans="1:27">
      <c r="A13" s="195" t="s">
        <v>1041</v>
      </c>
      <c r="B13" s="196">
        <v>13</v>
      </c>
      <c r="C13" s="196">
        <v>1194</v>
      </c>
      <c r="D13" s="196">
        <v>5.9</v>
      </c>
      <c r="E13" s="196">
        <v>12.4</v>
      </c>
      <c r="F13" s="196"/>
      <c r="G13" s="196"/>
      <c r="H13" s="196">
        <v>14.2</v>
      </c>
      <c r="I13" s="196">
        <v>2.4</v>
      </c>
      <c r="J13" s="196">
        <v>10.1</v>
      </c>
      <c r="K13" s="196">
        <v>0</v>
      </c>
      <c r="L13" s="196">
        <v>7.3</v>
      </c>
      <c r="M13" s="196">
        <v>2</v>
      </c>
      <c r="N13" s="196"/>
      <c r="O13" s="196"/>
      <c r="P13" s="196"/>
      <c r="Q13" s="196"/>
      <c r="R13" s="196"/>
      <c r="S13" s="196">
        <v>2.2799999999999998</v>
      </c>
      <c r="T13" s="196"/>
      <c r="U13" s="352"/>
      <c r="V13" s="352"/>
      <c r="W13" s="198"/>
      <c r="X13" s="198"/>
      <c r="Y13" s="281"/>
    </row>
    <row r="14" spans="1:27">
      <c r="A14" s="195" t="s">
        <v>1041</v>
      </c>
      <c r="B14" s="196">
        <v>13</v>
      </c>
      <c r="C14" s="196">
        <v>1244</v>
      </c>
      <c r="D14" s="196">
        <v>5.4</v>
      </c>
      <c r="E14" s="196">
        <v>12.1</v>
      </c>
      <c r="F14" s="196"/>
      <c r="G14" s="196"/>
      <c r="H14" s="196">
        <v>13.1</v>
      </c>
      <c r="I14" s="196">
        <v>2.2999999999999998</v>
      </c>
      <c r="J14" s="196">
        <v>8.5</v>
      </c>
      <c r="K14" s="196">
        <v>0</v>
      </c>
      <c r="L14" s="196">
        <v>7.2</v>
      </c>
      <c r="M14" s="196">
        <v>1.9</v>
      </c>
      <c r="N14" s="196"/>
      <c r="O14" s="196"/>
      <c r="P14" s="196"/>
      <c r="Q14" s="196"/>
      <c r="R14" s="196"/>
      <c r="S14" s="196">
        <v>2.4700000000000002</v>
      </c>
      <c r="T14" s="196"/>
      <c r="U14" s="352"/>
      <c r="V14" s="352"/>
      <c r="W14" s="198"/>
      <c r="X14" s="198"/>
      <c r="Y14" s="281"/>
    </row>
    <row r="15" spans="1:27">
      <c r="A15" s="195" t="s">
        <v>1041</v>
      </c>
      <c r="B15" s="196">
        <v>13</v>
      </c>
      <c r="C15" s="196">
        <v>1281</v>
      </c>
      <c r="D15" s="196">
        <v>5</v>
      </c>
      <c r="E15" s="196">
        <v>10.5</v>
      </c>
      <c r="F15" s="196"/>
      <c r="G15" s="196"/>
      <c r="H15" s="196">
        <v>10.199999999999999</v>
      </c>
      <c r="I15" s="196">
        <v>2.1</v>
      </c>
      <c r="J15" s="196">
        <v>7.7</v>
      </c>
      <c r="K15" s="196">
        <v>0</v>
      </c>
      <c r="L15" s="196">
        <v>6.2</v>
      </c>
      <c r="M15" s="196">
        <v>1.5</v>
      </c>
      <c r="N15" s="196"/>
      <c r="O15" s="196"/>
      <c r="P15" s="196"/>
      <c r="Q15" s="196"/>
      <c r="R15" s="196"/>
      <c r="S15" s="196">
        <v>2.39</v>
      </c>
      <c r="T15" s="196"/>
      <c r="U15" s="352"/>
      <c r="V15" s="352"/>
      <c r="W15" s="198" t="s">
        <v>1052</v>
      </c>
      <c r="X15" s="198"/>
      <c r="Y15" s="281"/>
    </row>
    <row r="16" spans="1:27">
      <c r="A16" s="195" t="s">
        <v>1041</v>
      </c>
      <c r="B16" s="196">
        <v>13</v>
      </c>
      <c r="C16" s="196">
        <v>1156</v>
      </c>
      <c r="D16" s="196">
        <v>5</v>
      </c>
      <c r="E16" s="196">
        <v>10.8</v>
      </c>
      <c r="F16" s="196"/>
      <c r="G16" s="196"/>
      <c r="H16" s="196">
        <v>11.1</v>
      </c>
      <c r="I16" s="196">
        <v>2.1</v>
      </c>
      <c r="J16" s="196">
        <v>8.4</v>
      </c>
      <c r="K16" s="196">
        <v>0</v>
      </c>
      <c r="L16" s="196">
        <v>6.6</v>
      </c>
      <c r="M16" s="196">
        <v>1.7</v>
      </c>
      <c r="N16" s="196"/>
      <c r="O16" s="196"/>
      <c r="P16" s="196"/>
      <c r="Q16" s="196"/>
      <c r="R16" s="196"/>
      <c r="S16" s="196">
        <v>2.5099999999999998</v>
      </c>
      <c r="T16" s="196"/>
      <c r="U16" s="352"/>
      <c r="V16" s="352"/>
      <c r="W16" s="198"/>
      <c r="X16" s="198"/>
      <c r="Y16" s="281"/>
    </row>
    <row r="17" spans="1:27" ht="24">
      <c r="A17" s="195" t="s">
        <v>1053</v>
      </c>
      <c r="B17" s="196">
        <v>9</v>
      </c>
      <c r="C17" s="196">
        <v>1421</v>
      </c>
      <c r="D17" s="196">
        <v>5.7</v>
      </c>
      <c r="E17" s="196">
        <v>8.8000000000000007</v>
      </c>
      <c r="F17" s="196"/>
      <c r="G17" s="196"/>
      <c r="H17" s="196">
        <v>7.8</v>
      </c>
      <c r="I17" s="196">
        <v>1.8</v>
      </c>
      <c r="J17" s="196">
        <v>8.9</v>
      </c>
      <c r="K17" s="196">
        <v>0</v>
      </c>
      <c r="L17" s="196">
        <v>9.1</v>
      </c>
      <c r="M17" s="196">
        <v>2.5</v>
      </c>
      <c r="N17" s="196"/>
      <c r="O17" s="196"/>
      <c r="P17" s="196"/>
      <c r="Q17" s="196"/>
      <c r="R17" s="196"/>
      <c r="S17" s="196">
        <v>3.19</v>
      </c>
      <c r="T17" s="196"/>
      <c r="U17" s="352" t="s">
        <v>1054</v>
      </c>
      <c r="V17" s="352" t="s">
        <v>1055</v>
      </c>
      <c r="W17" s="198"/>
      <c r="X17" s="198"/>
      <c r="Y17" s="281">
        <f t="shared" si="0"/>
        <v>3.56</v>
      </c>
      <c r="Z17" s="278">
        <f t="shared" si="1"/>
        <v>4.5600000000000005</v>
      </c>
      <c r="AA17" s="278">
        <f t="shared" si="2"/>
        <v>0.78070175438596479</v>
      </c>
    </row>
    <row r="18" spans="1:27" ht="24">
      <c r="A18" s="195" t="s">
        <v>1056</v>
      </c>
      <c r="B18" s="196">
        <v>12</v>
      </c>
      <c r="C18" s="196">
        <v>1801</v>
      </c>
      <c r="D18" s="196">
        <v>6.6</v>
      </c>
      <c r="E18" s="196">
        <v>6.4</v>
      </c>
      <c r="F18" s="196"/>
      <c r="G18" s="196"/>
      <c r="H18" s="196">
        <v>5.9</v>
      </c>
      <c r="I18" s="196">
        <v>1.4</v>
      </c>
      <c r="J18" s="196">
        <v>3.6</v>
      </c>
      <c r="K18" s="196">
        <v>0</v>
      </c>
      <c r="L18" s="196">
        <v>3.3</v>
      </c>
      <c r="M18" s="196">
        <v>1.4</v>
      </c>
      <c r="N18" s="196"/>
      <c r="O18" s="196"/>
      <c r="P18" s="196"/>
      <c r="Q18" s="196"/>
      <c r="R18" s="196"/>
      <c r="S18" s="196">
        <v>0.9</v>
      </c>
      <c r="T18" s="196"/>
      <c r="U18" s="352"/>
      <c r="V18" s="352"/>
      <c r="W18" s="198"/>
      <c r="X18" s="198"/>
      <c r="Y18" s="281">
        <f t="shared" si="0"/>
        <v>2.5714285714285716</v>
      </c>
      <c r="Z18" s="278">
        <f t="shared" si="1"/>
        <v>3.5714285714285716</v>
      </c>
      <c r="AA18" s="278">
        <f t="shared" si="2"/>
        <v>0.72</v>
      </c>
    </row>
    <row r="19" spans="1:27" ht="24">
      <c r="A19" s="195" t="s">
        <v>1056</v>
      </c>
      <c r="B19" s="196">
        <v>14</v>
      </c>
      <c r="C19" s="196">
        <v>2538</v>
      </c>
      <c r="D19" s="196">
        <v>7.7</v>
      </c>
      <c r="E19" s="196">
        <v>15.1</v>
      </c>
      <c r="F19" s="196"/>
      <c r="G19" s="196"/>
      <c r="H19" s="196">
        <v>18.8</v>
      </c>
      <c r="I19" s="196">
        <v>3</v>
      </c>
      <c r="J19" s="196">
        <v>6</v>
      </c>
      <c r="K19" s="196">
        <v>0</v>
      </c>
      <c r="L19" s="196">
        <v>4.3</v>
      </c>
      <c r="M19" s="196">
        <v>3.5</v>
      </c>
      <c r="N19" s="196"/>
      <c r="O19" s="196"/>
      <c r="P19" s="196"/>
      <c r="Q19" s="196"/>
      <c r="R19" s="196"/>
      <c r="S19" s="196">
        <v>1.17</v>
      </c>
      <c r="T19" s="196"/>
      <c r="U19" s="352"/>
      <c r="V19" s="352"/>
      <c r="W19" s="198"/>
      <c r="X19" s="198"/>
      <c r="Y19" s="281">
        <f t="shared" si="0"/>
        <v>1.7142857142857142</v>
      </c>
      <c r="Z19" s="278">
        <f t="shared" si="1"/>
        <v>2.7142857142857144</v>
      </c>
      <c r="AA19" s="278">
        <f t="shared" si="2"/>
        <v>0.63157894736842102</v>
      </c>
    </row>
    <row r="20" spans="1:27" ht="24">
      <c r="A20" s="195" t="s">
        <v>1053</v>
      </c>
      <c r="B20" s="196">
        <v>14</v>
      </c>
      <c r="C20" s="196">
        <v>2527</v>
      </c>
      <c r="D20" s="196">
        <v>7.2</v>
      </c>
      <c r="E20" s="196">
        <v>12.1</v>
      </c>
      <c r="F20" s="196"/>
      <c r="G20" s="196"/>
      <c r="H20" s="196">
        <v>12.6</v>
      </c>
      <c r="I20" s="196">
        <v>2.9</v>
      </c>
      <c r="J20" s="196">
        <v>6.4</v>
      </c>
      <c r="K20" s="196">
        <v>0</v>
      </c>
      <c r="L20" s="196">
        <v>6.1</v>
      </c>
      <c r="M20" s="196">
        <v>2.8</v>
      </c>
      <c r="N20" s="196"/>
      <c r="O20" s="196"/>
      <c r="P20" s="196"/>
      <c r="Q20" s="196"/>
      <c r="R20" s="196"/>
      <c r="S20" s="196">
        <v>2.36</v>
      </c>
      <c r="T20" s="196"/>
      <c r="U20" s="352"/>
      <c r="V20" s="352"/>
      <c r="W20" s="198"/>
      <c r="X20" s="198"/>
      <c r="Y20" s="281">
        <f t="shared" si="0"/>
        <v>2.285714285714286</v>
      </c>
      <c r="Z20" s="278">
        <f t="shared" si="1"/>
        <v>3.285714285714286</v>
      </c>
      <c r="AA20" s="278">
        <f t="shared" si="2"/>
        <v>0.69565217391304346</v>
      </c>
    </row>
    <row r="21" spans="1:27" ht="24">
      <c r="A21" s="195" t="s">
        <v>1057</v>
      </c>
      <c r="B21" s="196">
        <v>26</v>
      </c>
      <c r="C21" s="196">
        <v>3459</v>
      </c>
      <c r="D21" s="196">
        <v>13.7</v>
      </c>
      <c r="E21" s="196">
        <v>29.5</v>
      </c>
      <c r="F21" s="196"/>
      <c r="G21" s="196"/>
      <c r="H21" s="196">
        <v>76.5</v>
      </c>
      <c r="I21" s="196">
        <v>7.8</v>
      </c>
      <c r="J21" s="196">
        <v>10.7</v>
      </c>
      <c r="K21" s="196">
        <v>0</v>
      </c>
      <c r="L21" s="196">
        <v>10.3</v>
      </c>
      <c r="M21" s="196">
        <v>10.9</v>
      </c>
      <c r="N21" s="196"/>
      <c r="O21" s="196"/>
      <c r="P21" s="196"/>
      <c r="Q21" s="196"/>
      <c r="R21" s="196"/>
      <c r="S21" s="196">
        <v>1.92</v>
      </c>
      <c r="T21" s="196"/>
      <c r="U21" s="352"/>
      <c r="V21" s="352"/>
      <c r="W21" s="198"/>
      <c r="X21" s="198"/>
      <c r="Y21" s="281">
        <f t="shared" si="0"/>
        <v>0.98165137614678888</v>
      </c>
      <c r="Z21" s="278">
        <f t="shared" si="1"/>
        <v>1.9816513761467889</v>
      </c>
      <c r="AA21" s="278">
        <f t="shared" si="2"/>
        <v>0.49537037037037035</v>
      </c>
    </row>
    <row r="22" spans="1:27" ht="24">
      <c r="A22" s="195" t="s">
        <v>1053</v>
      </c>
      <c r="B22" s="196">
        <v>27</v>
      </c>
      <c r="C22" s="196">
        <v>3164</v>
      </c>
      <c r="D22" s="196">
        <v>13.3</v>
      </c>
      <c r="E22" s="196">
        <v>27.4</v>
      </c>
      <c r="F22" s="196"/>
      <c r="G22" s="196"/>
      <c r="H22" s="196">
        <v>66.900000000000006</v>
      </c>
      <c r="I22" s="196">
        <v>7.2</v>
      </c>
      <c r="J22" s="196">
        <v>9.1</v>
      </c>
      <c r="K22" s="196">
        <v>0</v>
      </c>
      <c r="L22" s="196">
        <v>4.9000000000000004</v>
      </c>
      <c r="M22" s="196">
        <v>10.1</v>
      </c>
      <c r="N22" s="196"/>
      <c r="O22" s="196"/>
      <c r="P22" s="196"/>
      <c r="Q22" s="196"/>
      <c r="R22" s="196"/>
      <c r="S22" s="196">
        <v>1.57</v>
      </c>
      <c r="T22" s="196"/>
      <c r="U22" s="352"/>
      <c r="V22" s="352"/>
      <c r="W22" s="198"/>
      <c r="X22" s="198"/>
      <c r="Y22" s="281">
        <f t="shared" si="0"/>
        <v>0.90099009900990101</v>
      </c>
      <c r="Z22" s="278">
        <f t="shared" si="1"/>
        <v>1.9009900990099009</v>
      </c>
      <c r="AA22" s="278">
        <f t="shared" si="2"/>
        <v>0.47395833333333337</v>
      </c>
    </row>
    <row r="23" spans="1:27" ht="24">
      <c r="A23" s="195" t="s">
        <v>1053</v>
      </c>
      <c r="B23" s="196">
        <v>28</v>
      </c>
      <c r="C23" s="196">
        <v>3102</v>
      </c>
      <c r="D23" s="196">
        <v>13.4</v>
      </c>
      <c r="E23" s="196">
        <v>29.8</v>
      </c>
      <c r="F23" s="196"/>
      <c r="G23" s="196"/>
      <c r="H23" s="196">
        <v>68.7</v>
      </c>
      <c r="I23" s="196">
        <v>7.2</v>
      </c>
      <c r="J23" s="196">
        <v>10.6</v>
      </c>
      <c r="K23" s="196">
        <v>0</v>
      </c>
      <c r="L23" s="196">
        <v>6.6</v>
      </c>
      <c r="M23" s="196">
        <v>12.2</v>
      </c>
      <c r="N23" s="196"/>
      <c r="O23" s="196"/>
      <c r="P23" s="196"/>
      <c r="Q23" s="196"/>
      <c r="R23" s="196"/>
      <c r="S23" s="196">
        <v>1.84</v>
      </c>
      <c r="T23" s="196"/>
      <c r="U23" s="352"/>
      <c r="V23" s="352" t="s">
        <v>1058</v>
      </c>
      <c r="W23" s="198"/>
      <c r="X23" s="198"/>
      <c r="Y23" s="281">
        <f t="shared" si="0"/>
        <v>0.86885245901639352</v>
      </c>
      <c r="Z23" s="278">
        <f t="shared" si="1"/>
        <v>1.8688524590163935</v>
      </c>
      <c r="AA23" s="278">
        <f t="shared" si="2"/>
        <v>0.46491228070175439</v>
      </c>
    </row>
    <row r="24" spans="1:27" ht="24">
      <c r="A24" s="195" t="s">
        <v>1053</v>
      </c>
      <c r="B24" s="196">
        <v>29</v>
      </c>
      <c r="C24" s="196">
        <v>1337</v>
      </c>
      <c r="D24" s="196">
        <v>14.8</v>
      </c>
      <c r="E24" s="196">
        <v>22.4</v>
      </c>
      <c r="F24" s="196"/>
      <c r="G24" s="196"/>
      <c r="H24" s="196">
        <v>57.5</v>
      </c>
      <c r="I24" s="196">
        <v>5.7</v>
      </c>
      <c r="J24" s="196">
        <v>12.4</v>
      </c>
      <c r="K24" s="196">
        <v>0.2</v>
      </c>
      <c r="L24" s="196">
        <v>5.7</v>
      </c>
      <c r="M24" s="196">
        <v>9.1</v>
      </c>
      <c r="N24" s="196"/>
      <c r="O24" s="196"/>
      <c r="P24" s="196"/>
      <c r="Q24" s="196"/>
      <c r="R24" s="196"/>
      <c r="S24" s="196">
        <v>1.46</v>
      </c>
      <c r="T24" s="196"/>
      <c r="U24" s="352"/>
      <c r="V24" s="352"/>
      <c r="W24" s="198"/>
      <c r="X24" s="198"/>
      <c r="Y24" s="281">
        <f t="shared" si="0"/>
        <v>1.3626373626373627</v>
      </c>
      <c r="Z24" s="278">
        <f t="shared" si="1"/>
        <v>2.3626373626373627</v>
      </c>
      <c r="AA24" s="278">
        <f t="shared" si="2"/>
        <v>0.57674418604651168</v>
      </c>
    </row>
    <row r="25" spans="1:27" ht="24">
      <c r="A25" s="195" t="s">
        <v>1057</v>
      </c>
      <c r="B25" s="196">
        <v>34</v>
      </c>
      <c r="C25" s="196">
        <v>1116</v>
      </c>
      <c r="D25" s="196">
        <v>15.1</v>
      </c>
      <c r="E25" s="196">
        <v>21.7</v>
      </c>
      <c r="F25" s="196"/>
      <c r="G25" s="196"/>
      <c r="H25" s="196">
        <v>61.4</v>
      </c>
      <c r="I25" s="196">
        <v>5.3</v>
      </c>
      <c r="J25" s="196">
        <v>8.9</v>
      </c>
      <c r="K25" s="196">
        <v>0.1</v>
      </c>
      <c r="L25" s="196">
        <v>5.4</v>
      </c>
      <c r="M25" s="196">
        <v>13.7</v>
      </c>
      <c r="N25" s="196"/>
      <c r="O25" s="196"/>
      <c r="P25" s="196"/>
      <c r="Q25" s="196"/>
      <c r="R25" s="196"/>
      <c r="S25" s="196">
        <v>1.36</v>
      </c>
      <c r="T25" s="196"/>
      <c r="U25" s="352"/>
      <c r="V25" s="352"/>
      <c r="W25" s="198"/>
      <c r="X25" s="198"/>
      <c r="Y25" s="281">
        <f t="shared" si="0"/>
        <v>0.64963503649635046</v>
      </c>
      <c r="Z25" s="278">
        <f t="shared" si="1"/>
        <v>1.6496350364963503</v>
      </c>
      <c r="AA25" s="278">
        <f t="shared" si="2"/>
        <v>0.39380530973451333</v>
      </c>
    </row>
    <row r="26" spans="1:27" ht="24">
      <c r="A26" s="195" t="s">
        <v>1056</v>
      </c>
      <c r="B26" s="196">
        <v>50</v>
      </c>
      <c r="C26" s="196">
        <v>1775</v>
      </c>
      <c r="D26" s="196">
        <v>14.8</v>
      </c>
      <c r="E26" s="196">
        <v>22.9</v>
      </c>
      <c r="F26" s="200"/>
      <c r="G26" s="200"/>
      <c r="H26" s="196">
        <v>58.8</v>
      </c>
      <c r="I26" s="196">
        <v>6.6</v>
      </c>
      <c r="J26" s="196">
        <v>6.1</v>
      </c>
      <c r="K26" s="196">
        <v>0</v>
      </c>
      <c r="L26" s="196">
        <v>4.4000000000000004</v>
      </c>
      <c r="M26" s="196">
        <v>12.1</v>
      </c>
      <c r="N26" s="196"/>
      <c r="O26" s="196"/>
      <c r="P26" s="196"/>
      <c r="Q26" s="196"/>
      <c r="R26" s="196"/>
      <c r="S26" s="196">
        <v>0.91</v>
      </c>
      <c r="T26" s="196"/>
      <c r="U26" s="352"/>
      <c r="V26" s="352"/>
      <c r="W26" s="198"/>
      <c r="X26" s="198"/>
      <c r="Y26" s="281">
        <f t="shared" si="0"/>
        <v>0.50413223140495866</v>
      </c>
      <c r="Z26" s="278">
        <f t="shared" si="1"/>
        <v>1.5041322314049586</v>
      </c>
      <c r="AA26" s="278">
        <f t="shared" si="2"/>
        <v>0.3351648351648352</v>
      </c>
    </row>
    <row r="27" spans="1:27" ht="24">
      <c r="A27" s="195" t="s">
        <v>1057</v>
      </c>
      <c r="B27" s="196">
        <v>77</v>
      </c>
      <c r="C27" s="196">
        <v>876</v>
      </c>
      <c r="D27" s="196">
        <v>17.100000000000001</v>
      </c>
      <c r="E27" s="196">
        <v>21.7</v>
      </c>
      <c r="F27" s="196"/>
      <c r="G27" s="196"/>
      <c r="H27" s="196">
        <v>61.2</v>
      </c>
      <c r="I27" s="196">
        <v>5.7</v>
      </c>
      <c r="J27" s="196">
        <v>6.9</v>
      </c>
      <c r="K27" s="196">
        <v>0.2</v>
      </c>
      <c r="L27" s="196">
        <v>5.4</v>
      </c>
      <c r="M27" s="196">
        <v>11.4</v>
      </c>
      <c r="N27" s="196"/>
      <c r="O27" s="196"/>
      <c r="P27" s="196"/>
      <c r="Q27" s="196"/>
      <c r="R27" s="196"/>
      <c r="S27" s="196">
        <v>1.01</v>
      </c>
      <c r="T27" s="196"/>
      <c r="U27" s="352"/>
      <c r="V27" s="352"/>
      <c r="W27" s="198"/>
      <c r="X27" s="198"/>
      <c r="Y27" s="281">
        <f t="shared" si="0"/>
        <v>0.60526315789473684</v>
      </c>
      <c r="Z27" s="278">
        <f t="shared" si="1"/>
        <v>1.6052631578947367</v>
      </c>
      <c r="AA27" s="278">
        <f t="shared" si="2"/>
        <v>0.37704918032786888</v>
      </c>
    </row>
    <row r="28" spans="1:27" ht="24">
      <c r="A28" s="195" t="s">
        <v>1056</v>
      </c>
      <c r="B28" s="196">
        <v>100</v>
      </c>
      <c r="C28" s="196">
        <v>453</v>
      </c>
      <c r="D28" s="196">
        <v>19.2</v>
      </c>
      <c r="E28" s="196">
        <v>19.7</v>
      </c>
      <c r="F28" s="196"/>
      <c r="G28" s="196"/>
      <c r="H28" s="196">
        <v>76.400000000000006</v>
      </c>
      <c r="I28" s="196">
        <v>4.9000000000000004</v>
      </c>
      <c r="J28" s="196">
        <v>9.3000000000000007</v>
      </c>
      <c r="K28" s="196">
        <v>0.2</v>
      </c>
      <c r="L28" s="196">
        <v>3.5</v>
      </c>
      <c r="M28" s="196">
        <v>19</v>
      </c>
      <c r="N28" s="196"/>
      <c r="O28" s="196"/>
      <c r="P28" s="196"/>
      <c r="Q28" s="196"/>
      <c r="R28" s="196"/>
      <c r="S28" s="196">
        <v>0.81</v>
      </c>
      <c r="T28" s="196"/>
      <c r="U28" s="352"/>
      <c r="V28" s="352"/>
      <c r="W28" s="198"/>
      <c r="X28" s="198"/>
      <c r="Y28" s="281">
        <f t="shared" si="0"/>
        <v>0.48947368421052634</v>
      </c>
      <c r="Z28" s="278">
        <f t="shared" si="1"/>
        <v>1.4894736842105263</v>
      </c>
      <c r="AA28" s="278">
        <f t="shared" si="2"/>
        <v>0.32862190812720848</v>
      </c>
    </row>
    <row r="29" spans="1:27">
      <c r="A29" s="195" t="s">
        <v>1041</v>
      </c>
      <c r="B29" s="196">
        <v>18</v>
      </c>
      <c r="C29" s="196">
        <v>5189</v>
      </c>
      <c r="D29" s="196">
        <v>5.5</v>
      </c>
      <c r="E29" s="196"/>
      <c r="F29" s="196"/>
      <c r="G29" s="196">
        <v>50</v>
      </c>
      <c r="H29" s="196">
        <v>28.4</v>
      </c>
      <c r="I29" s="196">
        <v>7.3</v>
      </c>
      <c r="J29" s="196">
        <v>13.1</v>
      </c>
      <c r="K29" s="196"/>
      <c r="L29" s="196">
        <v>6.2</v>
      </c>
      <c r="M29" s="196"/>
      <c r="N29" s="196"/>
      <c r="O29" s="196"/>
      <c r="P29" s="196"/>
      <c r="Q29" s="196"/>
      <c r="R29" s="196"/>
      <c r="S29" s="196"/>
      <c r="T29" s="196"/>
      <c r="U29" s="352" t="s">
        <v>1059</v>
      </c>
      <c r="V29" s="352" t="s">
        <v>1060</v>
      </c>
      <c r="W29" s="198"/>
      <c r="X29" s="198"/>
      <c r="Y29" s="281"/>
    </row>
    <row r="30" spans="1:27">
      <c r="A30" s="195" t="s">
        <v>1041</v>
      </c>
      <c r="B30" s="196">
        <v>28</v>
      </c>
      <c r="C30" s="196">
        <v>2125</v>
      </c>
      <c r="D30" s="196">
        <v>11.9</v>
      </c>
      <c r="E30" s="196"/>
      <c r="F30" s="196"/>
      <c r="G30" s="196">
        <v>138</v>
      </c>
      <c r="H30" s="196">
        <v>67</v>
      </c>
      <c r="I30" s="196">
        <v>8.4</v>
      </c>
      <c r="J30" s="196">
        <v>14</v>
      </c>
      <c r="K30" s="196"/>
      <c r="L30" s="196">
        <v>4.7</v>
      </c>
      <c r="M30" s="196"/>
      <c r="N30" s="196"/>
      <c r="O30" s="196"/>
      <c r="P30" s="196"/>
      <c r="Q30" s="196"/>
      <c r="R30" s="196"/>
      <c r="S30" s="196"/>
      <c r="T30" s="196"/>
      <c r="U30" s="352"/>
      <c r="V30" s="352"/>
      <c r="W30" s="198"/>
      <c r="X30" s="198"/>
      <c r="Y30" s="281"/>
    </row>
    <row r="31" spans="1:27">
      <c r="A31" s="195" t="s">
        <v>1041</v>
      </c>
      <c r="B31" s="196">
        <v>64</v>
      </c>
      <c r="C31" s="196">
        <v>815</v>
      </c>
      <c r="D31" s="196">
        <v>16.5</v>
      </c>
      <c r="E31" s="196"/>
      <c r="F31" s="196"/>
      <c r="G31" s="196">
        <v>157</v>
      </c>
      <c r="H31" s="196">
        <v>83.2</v>
      </c>
      <c r="I31" s="196">
        <v>14.2</v>
      </c>
      <c r="J31" s="196">
        <v>16.7</v>
      </c>
      <c r="K31" s="196"/>
      <c r="L31" s="196">
        <v>4.7</v>
      </c>
      <c r="M31" s="196"/>
      <c r="N31" s="196"/>
      <c r="O31" s="196"/>
      <c r="P31" s="196"/>
      <c r="Q31" s="196"/>
      <c r="R31" s="196"/>
      <c r="S31" s="196"/>
      <c r="T31" s="196"/>
      <c r="U31" s="352"/>
      <c r="V31" s="352"/>
      <c r="W31" s="198"/>
      <c r="X31" s="198"/>
      <c r="Y31" s="281"/>
    </row>
    <row r="32" spans="1:27">
      <c r="A32" s="195" t="s">
        <v>1041</v>
      </c>
      <c r="B32" s="196">
        <v>7</v>
      </c>
      <c r="C32" s="196">
        <v>4810</v>
      </c>
      <c r="D32" s="196">
        <v>1.4</v>
      </c>
      <c r="E32" s="196">
        <v>0.1</v>
      </c>
      <c r="F32" s="196">
        <v>0.8</v>
      </c>
      <c r="G32" s="196"/>
      <c r="H32" s="351">
        <v>1</v>
      </c>
      <c r="I32" s="351"/>
      <c r="J32" s="196">
        <v>1</v>
      </c>
      <c r="K32" s="196">
        <v>0</v>
      </c>
      <c r="L32" s="196">
        <v>2.1</v>
      </c>
      <c r="M32" s="196">
        <v>3.4</v>
      </c>
      <c r="N32" s="196"/>
      <c r="O32" s="200"/>
      <c r="P32" s="200"/>
      <c r="Q32" s="200"/>
      <c r="R32" s="200"/>
      <c r="S32" s="200"/>
      <c r="T32" s="200"/>
      <c r="U32" s="352" t="s">
        <v>1061</v>
      </c>
      <c r="V32" s="352" t="s">
        <v>1062</v>
      </c>
      <c r="W32" s="198"/>
      <c r="X32" s="198"/>
      <c r="Y32" s="281">
        <f t="shared" si="0"/>
        <v>0.29411764705882354</v>
      </c>
      <c r="Z32" s="278">
        <f t="shared" si="1"/>
        <v>1.2941176470588236</v>
      </c>
      <c r="AA32" s="278">
        <f t="shared" si="2"/>
        <v>0.22727272727272727</v>
      </c>
    </row>
    <row r="33" spans="1:27">
      <c r="A33" s="195" t="s">
        <v>1041</v>
      </c>
      <c r="B33" s="196">
        <v>11</v>
      </c>
      <c r="C33" s="196">
        <v>4230</v>
      </c>
      <c r="D33" s="196">
        <v>2.9</v>
      </c>
      <c r="E33" s="196">
        <v>4.0999999999999996</v>
      </c>
      <c r="F33" s="196">
        <v>2.1</v>
      </c>
      <c r="G33" s="196"/>
      <c r="H33" s="351">
        <v>5.2</v>
      </c>
      <c r="I33" s="351"/>
      <c r="J33" s="196">
        <v>4.3</v>
      </c>
      <c r="K33" s="196">
        <v>0</v>
      </c>
      <c r="L33" s="196">
        <v>5.8</v>
      </c>
      <c r="M33" s="196">
        <v>10.6</v>
      </c>
      <c r="N33" s="196"/>
      <c r="O33" s="351">
        <v>1.1000000000000001</v>
      </c>
      <c r="P33" s="351"/>
      <c r="Q33" s="196">
        <v>1.1000000000000001</v>
      </c>
      <c r="R33" s="196">
        <v>0</v>
      </c>
      <c r="S33" s="196">
        <v>1.7</v>
      </c>
      <c r="T33" s="196"/>
      <c r="U33" s="352"/>
      <c r="V33" s="352"/>
      <c r="W33" s="198"/>
      <c r="X33" s="198"/>
      <c r="Y33" s="281">
        <f t="shared" si="0"/>
        <v>0.40566037735849059</v>
      </c>
      <c r="Z33" s="278">
        <f t="shared" si="1"/>
        <v>1.4056603773584906</v>
      </c>
      <c r="AA33" s="278">
        <f t="shared" si="2"/>
        <v>0.28859060402684567</v>
      </c>
    </row>
    <row r="34" spans="1:27">
      <c r="A34" s="195" t="s">
        <v>1041</v>
      </c>
      <c r="B34" s="196">
        <v>14</v>
      </c>
      <c r="C34" s="196">
        <v>5190</v>
      </c>
      <c r="D34" s="196">
        <v>3.6</v>
      </c>
      <c r="E34" s="196">
        <v>7.2</v>
      </c>
      <c r="F34" s="196">
        <v>2.5</v>
      </c>
      <c r="G34" s="196"/>
      <c r="H34" s="351">
        <v>8.4</v>
      </c>
      <c r="I34" s="351"/>
      <c r="J34" s="196">
        <v>7.8</v>
      </c>
      <c r="K34" s="196">
        <v>0</v>
      </c>
      <c r="L34" s="196">
        <v>6.7</v>
      </c>
      <c r="M34" s="196">
        <v>10.4</v>
      </c>
      <c r="N34" s="196"/>
      <c r="O34" s="351">
        <v>1.1000000000000001</v>
      </c>
      <c r="P34" s="351"/>
      <c r="Q34" s="196">
        <v>1.4</v>
      </c>
      <c r="R34" s="196">
        <v>0</v>
      </c>
      <c r="S34" s="196">
        <v>3.9</v>
      </c>
      <c r="T34" s="196"/>
      <c r="U34" s="352"/>
      <c r="V34" s="352"/>
      <c r="W34" s="198"/>
      <c r="X34" s="198"/>
      <c r="Y34" s="281">
        <f t="shared" si="0"/>
        <v>0.75</v>
      </c>
      <c r="Z34" s="278">
        <f t="shared" si="1"/>
        <v>1.75</v>
      </c>
      <c r="AA34" s="278">
        <f t="shared" si="2"/>
        <v>0.42857142857142855</v>
      </c>
    </row>
    <row r="35" spans="1:27">
      <c r="A35" s="195" t="s">
        <v>1041</v>
      </c>
      <c r="B35" s="196">
        <v>17</v>
      </c>
      <c r="C35" s="196">
        <v>5640</v>
      </c>
      <c r="D35" s="196">
        <v>4.9000000000000004</v>
      </c>
      <c r="E35" s="196">
        <v>14.4</v>
      </c>
      <c r="F35" s="196">
        <v>3.3</v>
      </c>
      <c r="G35" s="196"/>
      <c r="H35" s="351">
        <v>16.2</v>
      </c>
      <c r="I35" s="351"/>
      <c r="J35" s="196">
        <v>9.4</v>
      </c>
      <c r="K35" s="196">
        <v>0.1</v>
      </c>
      <c r="L35" s="196">
        <v>9</v>
      </c>
      <c r="M35" s="196">
        <v>12.8</v>
      </c>
      <c r="N35" s="196"/>
      <c r="O35" s="351">
        <v>2.6</v>
      </c>
      <c r="P35" s="351"/>
      <c r="Q35" s="196">
        <v>3.8</v>
      </c>
      <c r="R35" s="196">
        <v>0.7</v>
      </c>
      <c r="S35" s="196">
        <v>4.3</v>
      </c>
      <c r="T35" s="196"/>
      <c r="U35" s="352"/>
      <c r="V35" s="352"/>
      <c r="W35" s="198"/>
      <c r="X35" s="198"/>
      <c r="Y35" s="281">
        <f t="shared" si="0"/>
        <v>0.734375</v>
      </c>
      <c r="Z35" s="278">
        <f t="shared" si="1"/>
        <v>1.734375</v>
      </c>
      <c r="AA35" s="278">
        <f t="shared" si="2"/>
        <v>0.42342342342342343</v>
      </c>
    </row>
    <row r="36" spans="1:27">
      <c r="A36" s="195" t="s">
        <v>1041</v>
      </c>
      <c r="B36" s="196">
        <v>20</v>
      </c>
      <c r="C36" s="196">
        <v>5400</v>
      </c>
      <c r="D36" s="196">
        <v>5.8</v>
      </c>
      <c r="E36" s="196">
        <v>19.600000000000001</v>
      </c>
      <c r="F36" s="196">
        <v>3.9</v>
      </c>
      <c r="G36" s="196"/>
      <c r="H36" s="351">
        <v>27.1</v>
      </c>
      <c r="I36" s="351"/>
      <c r="J36" s="196">
        <v>12</v>
      </c>
      <c r="K36" s="196">
        <v>0.5</v>
      </c>
      <c r="L36" s="196">
        <v>10.5</v>
      </c>
      <c r="M36" s="196">
        <v>14</v>
      </c>
      <c r="N36" s="196"/>
      <c r="O36" s="351">
        <v>3.6</v>
      </c>
      <c r="P36" s="351"/>
      <c r="Q36" s="196">
        <v>2.2999999999999998</v>
      </c>
      <c r="R36" s="196">
        <v>1.3</v>
      </c>
      <c r="S36" s="196">
        <v>3.6</v>
      </c>
      <c r="T36" s="196"/>
      <c r="U36" s="352"/>
      <c r="V36" s="352"/>
      <c r="W36" s="198"/>
      <c r="X36" s="198"/>
      <c r="Y36" s="281">
        <f t="shared" si="0"/>
        <v>0.8571428571428571</v>
      </c>
      <c r="Z36" s="278">
        <f t="shared" si="1"/>
        <v>1.8571428571428572</v>
      </c>
      <c r="AA36" s="278">
        <f t="shared" si="2"/>
        <v>0.46153846153846151</v>
      </c>
    </row>
    <row r="37" spans="1:27">
      <c r="A37" s="195" t="s">
        <v>1041</v>
      </c>
      <c r="B37" s="196">
        <v>23</v>
      </c>
      <c r="C37" s="196">
        <v>3640</v>
      </c>
      <c r="D37" s="196">
        <v>8.1999999999999993</v>
      </c>
      <c r="E37" s="196">
        <v>25.3</v>
      </c>
      <c r="F37" s="196">
        <v>1.9</v>
      </c>
      <c r="G37" s="196"/>
      <c r="H37" s="351">
        <v>44.3</v>
      </c>
      <c r="I37" s="351"/>
      <c r="J37" s="196">
        <v>13.8</v>
      </c>
      <c r="K37" s="196">
        <v>0.5</v>
      </c>
      <c r="L37" s="196">
        <v>5.0999999999999996</v>
      </c>
      <c r="M37" s="196">
        <v>28.1</v>
      </c>
      <c r="N37" s="196"/>
      <c r="O37" s="351">
        <v>11</v>
      </c>
      <c r="P37" s="351"/>
      <c r="Q37" s="196">
        <v>3</v>
      </c>
      <c r="R37" s="196">
        <v>1</v>
      </c>
      <c r="S37" s="196">
        <v>3.7</v>
      </c>
      <c r="T37" s="196"/>
      <c r="U37" s="352"/>
      <c r="V37" s="352"/>
      <c r="W37" s="198"/>
      <c r="X37" s="198"/>
      <c r="Y37" s="281">
        <f t="shared" si="0"/>
        <v>0.49110320284697506</v>
      </c>
      <c r="Z37" s="278">
        <f t="shared" si="1"/>
        <v>1.4911032028469751</v>
      </c>
      <c r="AA37" s="278">
        <f t="shared" si="2"/>
        <v>0.32935560859188545</v>
      </c>
    </row>
    <row r="38" spans="1:27">
      <c r="A38" s="195" t="s">
        <v>1041</v>
      </c>
      <c r="B38" s="196">
        <v>31</v>
      </c>
      <c r="C38" s="196">
        <v>2370</v>
      </c>
      <c r="D38" s="196">
        <v>12.6</v>
      </c>
      <c r="E38" s="196">
        <v>36</v>
      </c>
      <c r="F38" s="196">
        <v>3.1</v>
      </c>
      <c r="G38" s="196"/>
      <c r="H38" s="351">
        <v>81.7</v>
      </c>
      <c r="I38" s="351"/>
      <c r="J38" s="196">
        <v>9.4</v>
      </c>
      <c r="K38" s="196">
        <v>0.6</v>
      </c>
      <c r="L38" s="196">
        <v>8.3000000000000007</v>
      </c>
      <c r="M38" s="196">
        <v>27.7</v>
      </c>
      <c r="N38" s="196"/>
      <c r="O38" s="351">
        <v>8.5</v>
      </c>
      <c r="P38" s="351"/>
      <c r="Q38" s="196">
        <v>3</v>
      </c>
      <c r="R38" s="196">
        <v>0.4</v>
      </c>
      <c r="S38" s="196">
        <v>3.6</v>
      </c>
      <c r="T38" s="196"/>
      <c r="U38" s="352"/>
      <c r="V38" s="352"/>
      <c r="W38" s="198"/>
      <c r="X38" s="198"/>
      <c r="Y38" s="281">
        <f t="shared" si="0"/>
        <v>0.33935018050541521</v>
      </c>
      <c r="Z38" s="278">
        <f t="shared" si="1"/>
        <v>1.3393501805054151</v>
      </c>
      <c r="AA38" s="278">
        <f t="shared" si="2"/>
        <v>0.2533692722371968</v>
      </c>
    </row>
    <row r="39" spans="1:27">
      <c r="A39" s="195" t="s">
        <v>1041</v>
      </c>
      <c r="B39" s="196">
        <v>35</v>
      </c>
      <c r="C39" s="196">
        <v>1890</v>
      </c>
      <c r="D39" s="196">
        <v>14.2</v>
      </c>
      <c r="E39" s="196">
        <v>32.5</v>
      </c>
      <c r="F39" s="196">
        <v>3.6</v>
      </c>
      <c r="G39" s="196"/>
      <c r="H39" s="351">
        <v>98.8</v>
      </c>
      <c r="I39" s="351"/>
      <c r="J39" s="196">
        <v>9.6</v>
      </c>
      <c r="K39" s="196">
        <v>0.6</v>
      </c>
      <c r="L39" s="196">
        <v>9.8000000000000007</v>
      </c>
      <c r="M39" s="196">
        <v>44</v>
      </c>
      <c r="N39" s="196"/>
      <c r="O39" s="351">
        <v>9.3000000000000007</v>
      </c>
      <c r="P39" s="351"/>
      <c r="Q39" s="196">
        <v>3.8</v>
      </c>
      <c r="R39" s="196">
        <v>0.8</v>
      </c>
      <c r="S39" s="196">
        <v>3.5</v>
      </c>
      <c r="T39" s="196"/>
      <c r="U39" s="352"/>
      <c r="V39" s="352"/>
      <c r="W39" s="198"/>
      <c r="X39" s="198"/>
      <c r="Y39" s="281">
        <f t="shared" si="0"/>
        <v>0.21818181818181817</v>
      </c>
      <c r="Z39" s="278">
        <f t="shared" si="1"/>
        <v>1.2181818181818183</v>
      </c>
      <c r="AA39" s="278">
        <f t="shared" si="2"/>
        <v>0.17910447761194029</v>
      </c>
    </row>
    <row r="40" spans="1:27">
      <c r="A40" s="195" t="s">
        <v>1041</v>
      </c>
      <c r="B40" s="196">
        <v>55</v>
      </c>
      <c r="C40" s="196">
        <v>760</v>
      </c>
      <c r="D40" s="196">
        <v>16</v>
      </c>
      <c r="E40" s="196">
        <v>30.8</v>
      </c>
      <c r="F40" s="196">
        <v>2.7</v>
      </c>
      <c r="G40" s="196"/>
      <c r="H40" s="351">
        <v>96.7</v>
      </c>
      <c r="I40" s="351"/>
      <c r="J40" s="196">
        <v>12.3</v>
      </c>
      <c r="K40" s="196">
        <v>1</v>
      </c>
      <c r="L40" s="196">
        <v>7.2</v>
      </c>
      <c r="M40" s="196">
        <v>34.1</v>
      </c>
      <c r="N40" s="196"/>
      <c r="O40" s="351">
        <v>5</v>
      </c>
      <c r="P40" s="351"/>
      <c r="Q40" s="196">
        <v>0.8</v>
      </c>
      <c r="R40" s="196">
        <v>0.8</v>
      </c>
      <c r="S40" s="196">
        <v>3.3</v>
      </c>
      <c r="T40" s="196"/>
      <c r="U40" s="352"/>
      <c r="V40" s="352"/>
      <c r="W40" s="198"/>
      <c r="X40" s="198"/>
      <c r="Y40" s="281">
        <f t="shared" si="0"/>
        <v>0.36070381231671556</v>
      </c>
      <c r="Z40" s="278">
        <f t="shared" si="1"/>
        <v>1.3607038123167157</v>
      </c>
      <c r="AA40" s="278">
        <f t="shared" si="2"/>
        <v>0.26508620689655171</v>
      </c>
    </row>
    <row r="41" spans="1:27" ht="36">
      <c r="A41" s="195" t="s">
        <v>1041</v>
      </c>
      <c r="B41" s="196">
        <v>33</v>
      </c>
      <c r="C41" s="196">
        <v>4260</v>
      </c>
      <c r="D41" s="196">
        <v>15</v>
      </c>
      <c r="E41" s="196">
        <v>43</v>
      </c>
      <c r="F41" s="196"/>
      <c r="G41" s="196"/>
      <c r="H41" s="351">
        <v>118.8</v>
      </c>
      <c r="I41" s="351"/>
      <c r="J41" s="196">
        <v>14</v>
      </c>
      <c r="K41" s="196"/>
      <c r="L41" s="196">
        <v>7.3</v>
      </c>
      <c r="M41" s="196">
        <v>36.1</v>
      </c>
      <c r="N41" s="196"/>
      <c r="O41" s="196"/>
      <c r="P41" s="196"/>
      <c r="Q41" s="196"/>
      <c r="R41" s="196"/>
      <c r="S41" s="196"/>
      <c r="T41" s="196"/>
      <c r="U41" s="197" t="s">
        <v>1063</v>
      </c>
      <c r="V41" s="197" t="s">
        <v>1064</v>
      </c>
      <c r="W41" s="198"/>
      <c r="X41" s="198"/>
      <c r="Y41" s="281">
        <f t="shared" si="0"/>
        <v>0.38781163434903043</v>
      </c>
      <c r="Z41" s="278">
        <f t="shared" si="1"/>
        <v>1.3878116343490303</v>
      </c>
      <c r="AA41" s="278">
        <f t="shared" si="2"/>
        <v>0.27944111776447106</v>
      </c>
    </row>
    <row r="42" spans="1:27" ht="36">
      <c r="A42" s="195" t="s">
        <v>1076</v>
      </c>
      <c r="B42" s="196">
        <v>100</v>
      </c>
      <c r="C42" s="196"/>
      <c r="D42" s="196">
        <v>7.8</v>
      </c>
      <c r="E42" s="196"/>
      <c r="F42" s="196"/>
      <c r="G42" s="196"/>
      <c r="H42" s="351">
        <v>56.7</v>
      </c>
      <c r="I42" s="351"/>
      <c r="J42" s="351"/>
      <c r="K42" s="196"/>
      <c r="L42" s="196">
        <v>6.2</v>
      </c>
      <c r="M42" s="196">
        <v>17.8</v>
      </c>
      <c r="N42" s="196"/>
      <c r="O42" s="351">
        <v>0.7</v>
      </c>
      <c r="P42" s="351"/>
      <c r="Q42" s="351"/>
      <c r="R42" s="196"/>
      <c r="S42" s="196">
        <v>2.2999999999999998</v>
      </c>
      <c r="T42" s="196"/>
      <c r="U42" s="197" t="s">
        <v>1065</v>
      </c>
      <c r="V42" s="197" t="s">
        <v>1066</v>
      </c>
      <c r="W42" s="198"/>
      <c r="X42" s="198"/>
      <c r="Y42" s="281"/>
    </row>
    <row r="43" spans="1:27" ht="36">
      <c r="A43" s="195" t="s">
        <v>1041</v>
      </c>
      <c r="B43" s="196">
        <v>71</v>
      </c>
      <c r="C43" s="196"/>
      <c r="D43" s="196">
        <v>24.1</v>
      </c>
      <c r="E43" s="196"/>
      <c r="F43" s="196"/>
      <c r="G43" s="196"/>
      <c r="H43" s="351">
        <v>202.4</v>
      </c>
      <c r="I43" s="351"/>
      <c r="J43" s="351"/>
      <c r="K43" s="196"/>
      <c r="L43" s="196">
        <v>13.9</v>
      </c>
      <c r="M43" s="196">
        <v>63.6</v>
      </c>
      <c r="N43" s="196"/>
      <c r="O43" s="351">
        <v>2.8</v>
      </c>
      <c r="P43" s="351"/>
      <c r="Q43" s="351"/>
      <c r="R43" s="196"/>
      <c r="S43" s="196">
        <v>2.4</v>
      </c>
      <c r="T43" s="196">
        <v>0.9</v>
      </c>
      <c r="U43" s="197" t="s">
        <v>1067</v>
      </c>
      <c r="V43" s="197" t="s">
        <v>1068</v>
      </c>
      <c r="W43" s="198"/>
      <c r="X43" s="198"/>
      <c r="Y43" s="281"/>
    </row>
    <row r="44" spans="1:27" ht="36">
      <c r="A44" s="195" t="s">
        <v>1041</v>
      </c>
      <c r="B44" s="196">
        <v>100</v>
      </c>
      <c r="C44" s="196"/>
      <c r="D44" s="196">
        <v>5</v>
      </c>
      <c r="E44" s="196"/>
      <c r="F44" s="196"/>
      <c r="G44" s="196"/>
      <c r="H44" s="351">
        <v>17.899999999999999</v>
      </c>
      <c r="I44" s="351"/>
      <c r="J44" s="351"/>
      <c r="K44" s="196"/>
      <c r="L44" s="196">
        <v>15.1</v>
      </c>
      <c r="M44" s="196">
        <v>4</v>
      </c>
      <c r="N44" s="196"/>
      <c r="O44" s="351">
        <v>0.2</v>
      </c>
      <c r="P44" s="351"/>
      <c r="Q44" s="351"/>
      <c r="R44" s="196"/>
      <c r="S44" s="196">
        <v>3.2</v>
      </c>
      <c r="T44" s="196">
        <v>0.1</v>
      </c>
      <c r="U44" s="197" t="s">
        <v>1069</v>
      </c>
      <c r="V44" s="197" t="s">
        <v>1070</v>
      </c>
      <c r="W44" s="198"/>
      <c r="X44" s="198"/>
      <c r="Y44" s="281"/>
    </row>
    <row r="45" spans="1:27">
      <c r="A45" s="201"/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3"/>
      <c r="V45" s="203"/>
      <c r="W45" s="198"/>
      <c r="X45" s="198"/>
      <c r="AA45" s="278">
        <f>AVERAGE(AA3:AA5,AA17:AA41)</f>
        <v>0.41555507947543463</v>
      </c>
    </row>
    <row r="46" spans="1:27">
      <c r="A46" s="201"/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3"/>
      <c r="V46" s="203"/>
      <c r="W46" s="198"/>
      <c r="X46" s="198"/>
      <c r="AA46" s="278">
        <f>COUNT(AA3:AA5,AA17:AA41)</f>
        <v>25</v>
      </c>
    </row>
    <row r="47" spans="1:27">
      <c r="A47" s="204" t="s">
        <v>854</v>
      </c>
      <c r="B47" s="204"/>
      <c r="C47" s="204"/>
      <c r="D47" s="205"/>
      <c r="E47" s="205"/>
      <c r="F47" s="205"/>
      <c r="G47" s="205"/>
      <c r="H47" s="206"/>
      <c r="I47" s="207"/>
      <c r="J47" s="207"/>
      <c r="K47" s="207"/>
      <c r="L47" s="207"/>
      <c r="M47" s="207"/>
      <c r="N47" s="208"/>
      <c r="O47" s="209"/>
      <c r="P47" s="210"/>
      <c r="Q47" s="210"/>
      <c r="R47" s="210"/>
      <c r="S47" s="210"/>
      <c r="T47" s="210"/>
      <c r="U47" s="210"/>
      <c r="V47" s="211"/>
      <c r="AA47" s="278">
        <f>MIN(AA3:AA5,AA17:AA41)</f>
        <v>0.17910447761194029</v>
      </c>
    </row>
    <row r="48" spans="1:27">
      <c r="A48" s="212" t="s">
        <v>1071</v>
      </c>
      <c r="B48" s="213"/>
      <c r="C48" s="213"/>
      <c r="D48" s="213"/>
      <c r="E48" s="213"/>
      <c r="F48" s="213"/>
      <c r="G48" s="213"/>
      <c r="H48" s="213"/>
      <c r="I48" s="213"/>
      <c r="U48" s="214"/>
      <c r="V48" s="214"/>
      <c r="AA48" s="278">
        <f>MAX(AA3:AA5,AA17:AA41)</f>
        <v>0.78070175438596479</v>
      </c>
    </row>
    <row r="49" spans="1:9">
      <c r="A49" s="215" t="s">
        <v>1072</v>
      </c>
      <c r="B49" s="216"/>
      <c r="C49" s="216"/>
      <c r="D49" s="216"/>
      <c r="E49" s="216"/>
      <c r="F49" s="216"/>
      <c r="G49" s="216"/>
      <c r="H49" s="216"/>
      <c r="I49" s="216"/>
    </row>
    <row r="50" spans="1:9">
      <c r="A50" s="216"/>
      <c r="B50" s="216"/>
      <c r="C50" s="216"/>
      <c r="D50" s="216"/>
      <c r="E50" s="216"/>
      <c r="F50" s="216"/>
      <c r="G50" s="216"/>
      <c r="H50" s="216"/>
      <c r="I50" s="216"/>
    </row>
    <row r="51" spans="1:9">
      <c r="A51" s="215" t="s">
        <v>1073</v>
      </c>
      <c r="B51" s="216"/>
      <c r="C51" s="216"/>
      <c r="D51" s="216"/>
      <c r="E51" s="216"/>
      <c r="F51" s="216"/>
      <c r="G51" s="216"/>
      <c r="H51" s="216"/>
      <c r="I51" s="216"/>
    </row>
  </sheetData>
  <mergeCells count="43">
    <mergeCell ref="O40:P40"/>
    <mergeCell ref="O34:P34"/>
    <mergeCell ref="O2:T2"/>
    <mergeCell ref="H44:J44"/>
    <mergeCell ref="O44:Q44"/>
    <mergeCell ref="H42:J42"/>
    <mergeCell ref="O42:Q42"/>
    <mergeCell ref="H43:J43"/>
    <mergeCell ref="O43:Q43"/>
    <mergeCell ref="H41:I41"/>
    <mergeCell ref="V29:V31"/>
    <mergeCell ref="U17:U28"/>
    <mergeCell ref="V23:V28"/>
    <mergeCell ref="V32:V40"/>
    <mergeCell ref="H39:I39"/>
    <mergeCell ref="O39:P39"/>
    <mergeCell ref="H38:I38"/>
    <mergeCell ref="O38:P38"/>
    <mergeCell ref="H40:I40"/>
    <mergeCell ref="O37:P37"/>
    <mergeCell ref="H36:I36"/>
    <mergeCell ref="O36:P36"/>
    <mergeCell ref="H35:I35"/>
    <mergeCell ref="U32:U40"/>
    <mergeCell ref="O35:P35"/>
    <mergeCell ref="H34:I34"/>
    <mergeCell ref="V3:V5"/>
    <mergeCell ref="V6:V9"/>
    <mergeCell ref="V17:V22"/>
    <mergeCell ref="U12:U16"/>
    <mergeCell ref="V12:V16"/>
    <mergeCell ref="H10:I10"/>
    <mergeCell ref="H8:I8"/>
    <mergeCell ref="H9:I9"/>
    <mergeCell ref="H37:I37"/>
    <mergeCell ref="U3:U5"/>
    <mergeCell ref="O11:P11"/>
    <mergeCell ref="H6:I6"/>
    <mergeCell ref="H7:I7"/>
    <mergeCell ref="H33:I33"/>
    <mergeCell ref="U29:U31"/>
    <mergeCell ref="H32:I32"/>
    <mergeCell ref="O33:P33"/>
  </mergeCells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J38"/>
  <sheetViews>
    <sheetView workbookViewId="0">
      <selection activeCell="D11" sqref="D11"/>
    </sheetView>
  </sheetViews>
  <sheetFormatPr baseColWidth="10" defaultRowHeight="12.75"/>
  <cols>
    <col min="1" max="1" width="31.140625" style="177" customWidth="1"/>
    <col min="2" max="2" width="15.28515625" style="177" customWidth="1"/>
    <col min="3" max="4" width="11.42578125" style="177"/>
    <col min="5" max="5" width="13.85546875" style="177" bestFit="1" customWidth="1"/>
    <col min="6" max="16384" width="11.42578125" style="177"/>
  </cols>
  <sheetData>
    <row r="1" spans="1:8">
      <c r="A1" s="178" t="s">
        <v>1077</v>
      </c>
      <c r="B1" s="178"/>
    </row>
    <row r="2" spans="1:8">
      <c r="A2" s="178" t="s">
        <v>1078</v>
      </c>
      <c r="B2" s="178"/>
    </row>
    <row r="3" spans="1:8">
      <c r="A3" s="178" t="s">
        <v>1079</v>
      </c>
      <c r="B3" s="178"/>
    </row>
    <row r="5" spans="1:8">
      <c r="A5" s="176" t="s">
        <v>816</v>
      </c>
      <c r="B5" s="178"/>
    </row>
    <row r="6" spans="1:8">
      <c r="A6" s="176" t="s">
        <v>1080</v>
      </c>
      <c r="B6" s="178"/>
    </row>
    <row r="7" spans="1:8">
      <c r="C7" s="178" t="s">
        <v>1081</v>
      </c>
      <c r="D7" s="178" t="s">
        <v>1082</v>
      </c>
      <c r="E7" s="178" t="s">
        <v>1083</v>
      </c>
      <c r="F7" s="178" t="s">
        <v>1084</v>
      </c>
      <c r="G7" s="178" t="s">
        <v>1085</v>
      </c>
      <c r="H7" s="178" t="s">
        <v>1086</v>
      </c>
    </row>
    <row r="8" spans="1:8">
      <c r="A8" s="178" t="s">
        <v>1087</v>
      </c>
      <c r="B8" s="178"/>
      <c r="C8" s="177">
        <v>190</v>
      </c>
      <c r="D8" s="177">
        <v>175</v>
      </c>
      <c r="E8" s="177">
        <v>170</v>
      </c>
      <c r="F8" s="177">
        <v>125</v>
      </c>
      <c r="G8" s="177">
        <v>220</v>
      </c>
      <c r="H8" s="177">
        <v>20</v>
      </c>
    </row>
    <row r="9" spans="1:8" ht="38.25">
      <c r="A9" s="184" t="s">
        <v>1088</v>
      </c>
      <c r="B9" s="184"/>
      <c r="C9" s="177">
        <v>18</v>
      </c>
      <c r="D9" s="177">
        <v>20</v>
      </c>
      <c r="E9" s="177">
        <v>20</v>
      </c>
      <c r="F9" s="177">
        <v>24</v>
      </c>
      <c r="G9" s="177">
        <v>21</v>
      </c>
      <c r="H9" s="177">
        <v>19</v>
      </c>
    </row>
    <row r="10" spans="1:8">
      <c r="A10" s="178" t="s">
        <v>1089</v>
      </c>
      <c r="B10" s="178"/>
      <c r="C10" s="178">
        <v>64.22</v>
      </c>
      <c r="D10" s="177">
        <v>64.150000000000006</v>
      </c>
      <c r="E10" s="177">
        <v>64.17</v>
      </c>
      <c r="F10" s="177">
        <v>63.25</v>
      </c>
      <c r="G10" s="177">
        <v>63.97</v>
      </c>
      <c r="H10" s="177">
        <v>65.7</v>
      </c>
    </row>
    <row r="12" spans="1:8" ht="15.75">
      <c r="A12" s="178" t="s">
        <v>1104</v>
      </c>
      <c r="B12" s="178" t="s">
        <v>1090</v>
      </c>
      <c r="C12" s="177">
        <v>8960</v>
      </c>
      <c r="D12" s="177">
        <v>10780</v>
      </c>
      <c r="E12" s="177">
        <v>6860</v>
      </c>
      <c r="F12" s="177">
        <v>15050</v>
      </c>
      <c r="G12" s="177">
        <v>6760</v>
      </c>
      <c r="H12" s="177">
        <v>19900</v>
      </c>
    </row>
    <row r="13" spans="1:8">
      <c r="B13" s="178" t="s">
        <v>1091</v>
      </c>
      <c r="C13" s="177">
        <v>440</v>
      </c>
      <c r="D13" s="177">
        <v>450</v>
      </c>
      <c r="E13" s="177">
        <v>1360</v>
      </c>
      <c r="F13" s="177">
        <v>230</v>
      </c>
      <c r="G13" s="177">
        <v>1540</v>
      </c>
      <c r="H13" s="177">
        <v>50</v>
      </c>
    </row>
    <row r="14" spans="1:8">
      <c r="B14" s="178" t="s">
        <v>837</v>
      </c>
      <c r="C14" s="177">
        <v>3040</v>
      </c>
      <c r="D14" s="177">
        <v>11420</v>
      </c>
      <c r="E14" s="177">
        <v>6100</v>
      </c>
      <c r="F14" s="177">
        <v>1090</v>
      </c>
      <c r="G14" s="177">
        <v>3840</v>
      </c>
      <c r="H14" s="177">
        <v>430</v>
      </c>
    </row>
    <row r="15" spans="1:8">
      <c r="B15" s="178" t="s">
        <v>1092</v>
      </c>
      <c r="C15" s="177">
        <v>12440</v>
      </c>
      <c r="D15" s="177">
        <v>22650</v>
      </c>
      <c r="E15" s="177">
        <v>14320</v>
      </c>
      <c r="F15" s="177">
        <v>16370</v>
      </c>
      <c r="G15" s="177">
        <v>12140</v>
      </c>
      <c r="H15" s="177">
        <v>20380</v>
      </c>
    </row>
    <row r="17" spans="1:10" ht="15.75">
      <c r="A17" s="178" t="s">
        <v>1104</v>
      </c>
      <c r="B17" s="178" t="s">
        <v>1090</v>
      </c>
      <c r="C17" s="177">
        <v>18</v>
      </c>
      <c r="D17" s="177">
        <v>21</v>
      </c>
      <c r="E17" s="177">
        <v>18</v>
      </c>
      <c r="F17" s="177">
        <v>8</v>
      </c>
      <c r="G17" s="177">
        <v>11</v>
      </c>
      <c r="H17" s="177">
        <v>8</v>
      </c>
    </row>
    <row r="18" spans="1:10">
      <c r="B18" s="178" t="s">
        <v>1091</v>
      </c>
      <c r="C18" s="177">
        <v>6</v>
      </c>
      <c r="D18" s="177">
        <v>0</v>
      </c>
      <c r="E18" s="177">
        <v>6</v>
      </c>
      <c r="F18" s="177">
        <v>8</v>
      </c>
      <c r="G18" s="177">
        <v>13</v>
      </c>
      <c r="H18" s="177">
        <v>10</v>
      </c>
    </row>
    <row r="19" spans="1:10">
      <c r="B19" s="178" t="s">
        <v>837</v>
      </c>
      <c r="C19" s="177">
        <v>12</v>
      </c>
      <c r="D19" s="177">
        <v>15</v>
      </c>
      <c r="E19" s="177">
        <v>12</v>
      </c>
      <c r="F19" s="177">
        <v>8</v>
      </c>
      <c r="G19" s="177">
        <v>13</v>
      </c>
      <c r="H19" s="177">
        <v>6</v>
      </c>
    </row>
    <row r="20" spans="1:10">
      <c r="B20" s="178"/>
    </row>
    <row r="21" spans="1:10">
      <c r="A21" s="176" t="s">
        <v>217</v>
      </c>
    </row>
    <row r="22" spans="1:10">
      <c r="A22" s="176" t="s">
        <v>1093</v>
      </c>
    </row>
    <row r="23" spans="1:10">
      <c r="B23" s="176" t="s">
        <v>1090</v>
      </c>
      <c r="E23" s="176" t="s">
        <v>1091</v>
      </c>
      <c r="H23" s="176" t="s">
        <v>837</v>
      </c>
    </row>
    <row r="24" spans="1:10">
      <c r="B24" s="178" t="s">
        <v>1555</v>
      </c>
      <c r="C24" s="178" t="s">
        <v>1094</v>
      </c>
      <c r="D24" s="178" t="s">
        <v>1095</v>
      </c>
      <c r="E24" s="178" t="s">
        <v>1555</v>
      </c>
      <c r="F24" s="178" t="s">
        <v>1094</v>
      </c>
      <c r="G24" s="178" t="s">
        <v>1095</v>
      </c>
      <c r="H24" s="178" t="s">
        <v>1555</v>
      </c>
      <c r="I24" s="178" t="s">
        <v>1094</v>
      </c>
      <c r="J24" s="178" t="s">
        <v>1095</v>
      </c>
    </row>
    <row r="25" spans="1:10">
      <c r="A25" s="178" t="s">
        <v>1096</v>
      </c>
      <c r="B25" s="217">
        <v>4.7</v>
      </c>
      <c r="C25" s="217">
        <v>1.1000000000000001</v>
      </c>
      <c r="D25" s="217">
        <v>10</v>
      </c>
      <c r="E25" s="217">
        <v>5.2</v>
      </c>
      <c r="F25" s="217">
        <v>1.1000000000000001</v>
      </c>
      <c r="G25" s="217">
        <v>9.9</v>
      </c>
      <c r="H25" s="217">
        <v>4.3</v>
      </c>
      <c r="I25" s="217">
        <v>0.9</v>
      </c>
      <c r="J25" s="217">
        <v>9.8000000000000007</v>
      </c>
    </row>
    <row r="26" spans="1:10">
      <c r="A26" s="178" t="s">
        <v>1097</v>
      </c>
      <c r="B26" s="217">
        <v>41</v>
      </c>
      <c r="C26" s="217">
        <v>16.5</v>
      </c>
      <c r="D26" s="217">
        <v>88</v>
      </c>
      <c r="E26" s="217">
        <v>47.3</v>
      </c>
      <c r="F26" s="217">
        <v>18.2</v>
      </c>
      <c r="G26" s="217">
        <v>83</v>
      </c>
      <c r="H26" s="217">
        <v>51.1</v>
      </c>
      <c r="I26" s="217">
        <v>18.2</v>
      </c>
      <c r="J26" s="217">
        <v>92.2</v>
      </c>
    </row>
    <row r="27" spans="1:10">
      <c r="A27" s="178" t="s">
        <v>1098</v>
      </c>
      <c r="B27" s="217">
        <v>9.8000000000000007</v>
      </c>
      <c r="C27" s="217">
        <v>1.3</v>
      </c>
      <c r="D27" s="217">
        <v>36.6</v>
      </c>
      <c r="E27" s="217">
        <v>2.7</v>
      </c>
      <c r="F27" s="217">
        <v>0.2</v>
      </c>
      <c r="G27" s="217">
        <v>7.3</v>
      </c>
      <c r="H27" s="217">
        <v>11.9</v>
      </c>
      <c r="I27" s="217">
        <v>1.8</v>
      </c>
      <c r="J27" s="217">
        <v>42</v>
      </c>
    </row>
    <row r="28" spans="1:10">
      <c r="A28" s="178" t="s">
        <v>1099</v>
      </c>
      <c r="B28" s="217">
        <v>31.3</v>
      </c>
      <c r="C28" s="217">
        <v>13</v>
      </c>
      <c r="D28" s="217">
        <v>61.6</v>
      </c>
      <c r="E28" s="217">
        <v>44.6</v>
      </c>
      <c r="F28" s="217">
        <v>14.6</v>
      </c>
      <c r="G28" s="217">
        <v>81.599999999999994</v>
      </c>
      <c r="H28" s="217">
        <v>39.1</v>
      </c>
      <c r="I28" s="217">
        <v>12</v>
      </c>
      <c r="J28" s="217">
        <v>71.900000000000006</v>
      </c>
    </row>
    <row r="29" spans="1:10" ht="25.5">
      <c r="A29" s="184" t="s">
        <v>1100</v>
      </c>
      <c r="B29" s="177">
        <v>0.79</v>
      </c>
      <c r="C29" s="177">
        <v>0.53</v>
      </c>
      <c r="D29" s="177">
        <v>0.94</v>
      </c>
      <c r="E29" s="177">
        <v>0.94</v>
      </c>
      <c r="F29" s="177">
        <v>0.94</v>
      </c>
      <c r="G29" s="177">
        <v>0.99</v>
      </c>
      <c r="H29" s="177">
        <v>0.77</v>
      </c>
      <c r="I29" s="177">
        <v>0.54</v>
      </c>
      <c r="J29" s="177">
        <v>0.97</v>
      </c>
    </row>
    <row r="30" spans="1:10">
      <c r="A30" s="178" t="s">
        <v>1101</v>
      </c>
    </row>
    <row r="31" spans="1:10">
      <c r="A31" s="181" t="s">
        <v>1026</v>
      </c>
      <c r="B31" s="177">
        <v>2306</v>
      </c>
      <c r="C31" s="177">
        <v>110</v>
      </c>
      <c r="D31" s="177">
        <v>11524</v>
      </c>
      <c r="E31" s="177">
        <v>2820</v>
      </c>
      <c r="F31" s="177">
        <v>128</v>
      </c>
      <c r="G31" s="177">
        <v>10047</v>
      </c>
      <c r="H31" s="177">
        <v>2940</v>
      </c>
      <c r="I31" s="177">
        <v>104</v>
      </c>
      <c r="J31" s="177">
        <v>12305</v>
      </c>
    </row>
    <row r="32" spans="1:10">
      <c r="A32" s="181" t="s">
        <v>1027</v>
      </c>
      <c r="B32" s="177">
        <v>580</v>
      </c>
      <c r="C32" s="177">
        <v>42</v>
      </c>
      <c r="D32" s="177">
        <v>2573</v>
      </c>
      <c r="E32" s="177">
        <v>649</v>
      </c>
      <c r="F32" s="177">
        <v>35</v>
      </c>
      <c r="G32" s="177">
        <v>2034</v>
      </c>
      <c r="H32" s="177">
        <v>695</v>
      </c>
      <c r="I32" s="177">
        <v>40</v>
      </c>
      <c r="J32" s="177">
        <v>2924</v>
      </c>
    </row>
    <row r="33" spans="1:10">
      <c r="A33" s="181" t="s">
        <v>1028</v>
      </c>
      <c r="B33" s="177">
        <v>657</v>
      </c>
      <c r="C33" s="177">
        <v>16</v>
      </c>
      <c r="D33" s="177">
        <v>2836</v>
      </c>
      <c r="E33" s="177">
        <v>1287</v>
      </c>
      <c r="F33" s="177">
        <v>58</v>
      </c>
      <c r="G33" s="177">
        <v>4665</v>
      </c>
      <c r="H33" s="177">
        <v>896</v>
      </c>
      <c r="I33" s="177">
        <v>32</v>
      </c>
      <c r="J33" s="177">
        <v>3857</v>
      </c>
    </row>
    <row r="34" spans="1:10">
      <c r="A34" s="181" t="s">
        <v>1030</v>
      </c>
      <c r="B34" s="177">
        <v>765</v>
      </c>
      <c r="C34" s="177">
        <v>48</v>
      </c>
      <c r="D34" s="177">
        <v>2638</v>
      </c>
      <c r="E34" s="177">
        <v>2201</v>
      </c>
      <c r="F34" s="177">
        <v>129</v>
      </c>
      <c r="G34" s="177">
        <v>7042</v>
      </c>
      <c r="H34" s="177">
        <v>229</v>
      </c>
      <c r="I34" s="177">
        <v>2</v>
      </c>
      <c r="J34" s="177">
        <v>1440</v>
      </c>
    </row>
    <row r="35" spans="1:10">
      <c r="A35" s="181" t="s">
        <v>1102</v>
      </c>
      <c r="B35" s="177">
        <v>130</v>
      </c>
      <c r="C35" s="177">
        <v>0</v>
      </c>
      <c r="D35" s="177">
        <v>955</v>
      </c>
      <c r="E35" s="177">
        <v>66</v>
      </c>
      <c r="F35" s="177">
        <v>0</v>
      </c>
      <c r="G35" s="177">
        <v>539</v>
      </c>
      <c r="H35" s="177">
        <v>103</v>
      </c>
      <c r="I35" s="177">
        <v>0</v>
      </c>
      <c r="J35" s="177">
        <v>618</v>
      </c>
    </row>
    <row r="37" spans="1:10">
      <c r="A37" s="178" t="s">
        <v>854</v>
      </c>
    </row>
    <row r="38" spans="1:10">
      <c r="A38" s="178" t="s">
        <v>1103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165"/>
  <sheetViews>
    <sheetView topLeftCell="A124" zoomScale="75" workbookViewId="0">
      <selection activeCell="D11" sqref="D11"/>
    </sheetView>
  </sheetViews>
  <sheetFormatPr baseColWidth="10" defaultRowHeight="12.75"/>
  <cols>
    <col min="1" max="1" width="6.28515625" style="136" customWidth="1"/>
    <col min="2" max="2" width="21.85546875" style="136" bestFit="1" customWidth="1"/>
    <col min="3" max="3" width="8" style="136" customWidth="1"/>
    <col min="4" max="4" width="11" style="136" customWidth="1"/>
    <col min="5" max="5" width="11.85546875" style="136" customWidth="1"/>
    <col min="6" max="6" width="9.7109375" style="136" bestFit="1" customWidth="1"/>
    <col min="7" max="8" width="12.28515625" style="136" customWidth="1"/>
    <col min="9" max="9" width="14.28515625" style="136" customWidth="1"/>
    <col min="10" max="10" width="17.28515625" style="136" customWidth="1"/>
    <col min="11" max="11" width="14.5703125" style="136" customWidth="1"/>
    <col min="12" max="12" width="14.7109375" style="136" customWidth="1"/>
    <col min="13" max="13" width="20.5703125" style="136" customWidth="1"/>
    <col min="14" max="14" width="11.42578125" style="136"/>
    <col min="15" max="15" width="14.85546875" style="136" customWidth="1"/>
    <col min="16" max="16384" width="11.42578125" style="136"/>
  </cols>
  <sheetData>
    <row r="1" spans="1:15">
      <c r="A1" s="141" t="s">
        <v>62</v>
      </c>
    </row>
    <row r="3" spans="1:15">
      <c r="A3" s="141" t="s">
        <v>63</v>
      </c>
    </row>
    <row r="4" spans="1:15" ht="38.25">
      <c r="A4" s="140" t="s">
        <v>1467</v>
      </c>
      <c r="B4" s="140" t="s">
        <v>64</v>
      </c>
      <c r="C4" s="140" t="s">
        <v>65</v>
      </c>
      <c r="D4" s="142" t="s">
        <v>20</v>
      </c>
      <c r="E4" s="142" t="s">
        <v>66</v>
      </c>
      <c r="F4" s="142" t="s">
        <v>67</v>
      </c>
      <c r="G4" s="142" t="s">
        <v>68</v>
      </c>
      <c r="H4" s="355" t="s">
        <v>69</v>
      </c>
      <c r="I4" s="356"/>
      <c r="J4" s="356"/>
      <c r="K4" s="142" t="s">
        <v>70</v>
      </c>
      <c r="L4" s="142" t="s">
        <v>71</v>
      </c>
      <c r="M4" s="142" t="s">
        <v>72</v>
      </c>
      <c r="N4" s="142" t="s">
        <v>73</v>
      </c>
      <c r="O4" s="142" t="s">
        <v>74</v>
      </c>
    </row>
    <row r="5" spans="1:15">
      <c r="C5" s="140"/>
      <c r="H5" s="143" t="s">
        <v>75</v>
      </c>
      <c r="I5" s="143" t="s">
        <v>76</v>
      </c>
      <c r="J5" s="143" t="s">
        <v>77</v>
      </c>
    </row>
    <row r="6" spans="1:15" ht="25.5">
      <c r="A6" s="140">
        <v>1</v>
      </c>
      <c r="B6" s="140" t="s">
        <v>78</v>
      </c>
      <c r="C6" s="143" t="s">
        <v>79</v>
      </c>
      <c r="D6" s="136">
        <v>164</v>
      </c>
      <c r="E6" s="140" t="s">
        <v>80</v>
      </c>
      <c r="F6" s="136">
        <v>24.5</v>
      </c>
      <c r="G6" s="136">
        <v>9</v>
      </c>
      <c r="H6" s="137">
        <v>5.9</v>
      </c>
      <c r="I6" s="137">
        <v>3.25</v>
      </c>
      <c r="J6" s="137">
        <f>SUM(H6:I6)</f>
        <v>9.15</v>
      </c>
      <c r="K6" s="136">
        <v>60</v>
      </c>
      <c r="L6" s="142" t="s">
        <v>81</v>
      </c>
      <c r="M6" s="142" t="s">
        <v>82</v>
      </c>
      <c r="N6" s="140" t="s">
        <v>83</v>
      </c>
      <c r="O6" s="140" t="s">
        <v>84</v>
      </c>
    </row>
    <row r="7" spans="1:15" ht="25.5">
      <c r="A7" s="140">
        <v>2</v>
      </c>
      <c r="B7" s="140" t="s">
        <v>78</v>
      </c>
      <c r="C7" s="143" t="s">
        <v>79</v>
      </c>
      <c r="D7" s="136">
        <v>151</v>
      </c>
      <c r="E7" s="140" t="s">
        <v>80</v>
      </c>
      <c r="F7" s="136">
        <v>23.5</v>
      </c>
      <c r="G7" s="136">
        <v>10</v>
      </c>
      <c r="H7" s="137">
        <v>5.0999999999999996</v>
      </c>
      <c r="I7" s="137">
        <v>4.5</v>
      </c>
      <c r="J7" s="137">
        <f t="shared" ref="J7:J27" si="0">SUM(H7:I7)</f>
        <v>9.6</v>
      </c>
      <c r="K7" s="136">
        <v>60</v>
      </c>
      <c r="L7" s="142" t="s">
        <v>81</v>
      </c>
      <c r="M7" s="142" t="s">
        <v>82</v>
      </c>
      <c r="N7" s="140" t="s">
        <v>83</v>
      </c>
      <c r="O7" s="140" t="s">
        <v>85</v>
      </c>
    </row>
    <row r="8" spans="1:15" ht="38.25">
      <c r="A8" s="140">
        <v>3</v>
      </c>
      <c r="B8" s="140" t="s">
        <v>78</v>
      </c>
      <c r="C8" s="143" t="s">
        <v>79</v>
      </c>
      <c r="D8" s="136">
        <v>162</v>
      </c>
      <c r="E8" s="140" t="s">
        <v>80</v>
      </c>
      <c r="F8" s="136">
        <v>25</v>
      </c>
      <c r="G8" s="136">
        <v>9</v>
      </c>
      <c r="H8" s="137">
        <v>2.4</v>
      </c>
      <c r="I8" s="137">
        <v>3.6</v>
      </c>
      <c r="J8" s="137">
        <f t="shared" si="0"/>
        <v>6</v>
      </c>
      <c r="K8" s="136">
        <v>60</v>
      </c>
      <c r="L8" s="142" t="s">
        <v>81</v>
      </c>
      <c r="M8" s="142" t="s">
        <v>86</v>
      </c>
      <c r="N8" s="140" t="s">
        <v>83</v>
      </c>
      <c r="O8" s="140" t="s">
        <v>84</v>
      </c>
    </row>
    <row r="9" spans="1:15" ht="25.5">
      <c r="A9" s="140">
        <v>4</v>
      </c>
      <c r="B9" s="140" t="s">
        <v>78</v>
      </c>
      <c r="C9" s="143" t="s">
        <v>79</v>
      </c>
      <c r="D9" s="136">
        <v>158</v>
      </c>
      <c r="E9" s="136">
        <v>52</v>
      </c>
      <c r="F9" s="136">
        <v>22</v>
      </c>
      <c r="G9" s="136">
        <v>8</v>
      </c>
      <c r="H9" s="137">
        <v>3.25</v>
      </c>
      <c r="I9" s="137">
        <v>4.75</v>
      </c>
      <c r="J9" s="137">
        <f t="shared" si="0"/>
        <v>8</v>
      </c>
      <c r="K9" s="136">
        <v>60</v>
      </c>
      <c r="L9" s="142" t="s">
        <v>81</v>
      </c>
      <c r="M9" s="142" t="s">
        <v>82</v>
      </c>
      <c r="N9" s="140" t="s">
        <v>83</v>
      </c>
      <c r="O9" s="140" t="s">
        <v>87</v>
      </c>
    </row>
    <row r="10" spans="1:15" ht="38.25">
      <c r="A10" s="140">
        <v>5</v>
      </c>
      <c r="B10" s="140" t="s">
        <v>78</v>
      </c>
      <c r="C10" s="143">
        <v>120</v>
      </c>
      <c r="D10" s="136">
        <v>180</v>
      </c>
      <c r="E10" s="136">
        <v>84</v>
      </c>
      <c r="F10" s="136">
        <v>29</v>
      </c>
      <c r="G10" s="136">
        <v>16</v>
      </c>
      <c r="H10" s="137">
        <v>6.8</v>
      </c>
      <c r="I10" s="137">
        <v>2.2000000000000002</v>
      </c>
      <c r="J10" s="137">
        <f t="shared" si="0"/>
        <v>9</v>
      </c>
      <c r="K10" s="136">
        <v>70</v>
      </c>
      <c r="L10" s="142" t="s">
        <v>88</v>
      </c>
      <c r="M10" s="142" t="s">
        <v>89</v>
      </c>
      <c r="N10" s="140" t="s">
        <v>90</v>
      </c>
      <c r="O10" s="140" t="s">
        <v>84</v>
      </c>
    </row>
    <row r="11" spans="1:15" ht="38.25">
      <c r="A11" s="140">
        <v>6</v>
      </c>
      <c r="B11" s="140" t="s">
        <v>78</v>
      </c>
      <c r="C11" s="143">
        <v>175</v>
      </c>
      <c r="D11" s="136">
        <v>170</v>
      </c>
      <c r="E11" s="136">
        <v>44</v>
      </c>
      <c r="F11" s="136">
        <v>21.5</v>
      </c>
      <c r="G11" s="136">
        <v>7.5</v>
      </c>
      <c r="H11" s="137">
        <v>4</v>
      </c>
      <c r="I11" s="137">
        <v>4</v>
      </c>
      <c r="J11" s="137">
        <f t="shared" si="0"/>
        <v>8</v>
      </c>
      <c r="K11" s="136">
        <v>60</v>
      </c>
      <c r="L11" s="142" t="s">
        <v>81</v>
      </c>
      <c r="M11" s="142" t="s">
        <v>91</v>
      </c>
      <c r="N11" s="140" t="s">
        <v>83</v>
      </c>
      <c r="O11" s="140" t="s">
        <v>92</v>
      </c>
    </row>
    <row r="12" spans="1:15" ht="38.25">
      <c r="A12" s="140">
        <v>7</v>
      </c>
      <c r="B12" s="140" t="s">
        <v>93</v>
      </c>
      <c r="C12" s="144">
        <v>11</v>
      </c>
      <c r="D12" s="136">
        <v>145</v>
      </c>
      <c r="E12" s="136">
        <v>72</v>
      </c>
      <c r="F12" s="136">
        <v>28</v>
      </c>
      <c r="G12" s="136">
        <v>14</v>
      </c>
      <c r="H12" s="137">
        <v>5.2</v>
      </c>
      <c r="I12" s="137">
        <v>5.8</v>
      </c>
      <c r="J12" s="137">
        <f t="shared" si="0"/>
        <v>11</v>
      </c>
      <c r="K12" s="136">
        <v>24</v>
      </c>
      <c r="L12" s="142" t="s">
        <v>81</v>
      </c>
      <c r="M12" s="142" t="s">
        <v>94</v>
      </c>
      <c r="N12" s="140" t="s">
        <v>95</v>
      </c>
      <c r="O12" s="140" t="s">
        <v>96</v>
      </c>
    </row>
    <row r="13" spans="1:15" ht="51">
      <c r="A13" s="140">
        <v>8</v>
      </c>
      <c r="B13" s="140" t="s">
        <v>93</v>
      </c>
      <c r="C13" s="144">
        <v>10</v>
      </c>
      <c r="D13" s="136">
        <v>146</v>
      </c>
      <c r="E13" s="136">
        <v>61</v>
      </c>
      <c r="F13" s="136">
        <v>24.9</v>
      </c>
      <c r="G13" s="136">
        <v>9.5</v>
      </c>
      <c r="H13" s="137">
        <v>5.2</v>
      </c>
      <c r="I13" s="137">
        <v>4.0999999999999996</v>
      </c>
      <c r="J13" s="137">
        <f t="shared" si="0"/>
        <v>9.3000000000000007</v>
      </c>
      <c r="K13" s="136">
        <v>45</v>
      </c>
      <c r="L13" s="142" t="s">
        <v>97</v>
      </c>
      <c r="M13" s="142" t="s">
        <v>98</v>
      </c>
      <c r="N13" s="140" t="s">
        <v>95</v>
      </c>
      <c r="O13" s="140" t="s">
        <v>84</v>
      </c>
    </row>
    <row r="14" spans="1:15" ht="38.25">
      <c r="A14" s="140">
        <v>9</v>
      </c>
      <c r="B14" s="140" t="s">
        <v>99</v>
      </c>
      <c r="C14" s="144">
        <v>19</v>
      </c>
      <c r="D14" s="136">
        <v>134</v>
      </c>
      <c r="E14" s="136">
        <v>57</v>
      </c>
      <c r="F14" s="136">
        <v>27.3</v>
      </c>
      <c r="G14" s="136">
        <v>11</v>
      </c>
      <c r="H14" s="137">
        <v>4.8</v>
      </c>
      <c r="I14" s="137">
        <v>4.75</v>
      </c>
      <c r="J14" s="137">
        <f t="shared" si="0"/>
        <v>9.5500000000000007</v>
      </c>
      <c r="K14" s="136">
        <v>55</v>
      </c>
      <c r="L14" s="142" t="s">
        <v>100</v>
      </c>
      <c r="M14" s="142" t="s">
        <v>101</v>
      </c>
      <c r="N14" s="140" t="s">
        <v>90</v>
      </c>
      <c r="O14" s="140" t="s">
        <v>84</v>
      </c>
    </row>
    <row r="15" spans="1:15" ht="51">
      <c r="A15" s="140">
        <v>10</v>
      </c>
      <c r="B15" s="140" t="s">
        <v>99</v>
      </c>
      <c r="C15" s="144">
        <v>19</v>
      </c>
      <c r="D15" s="136">
        <v>123</v>
      </c>
      <c r="E15" s="136">
        <v>59</v>
      </c>
      <c r="F15" s="136">
        <v>26.9</v>
      </c>
      <c r="G15" s="136">
        <v>12</v>
      </c>
      <c r="H15" s="137">
        <v>3.6</v>
      </c>
      <c r="I15" s="137">
        <v>4.4000000000000004</v>
      </c>
      <c r="J15" s="137">
        <f t="shared" si="0"/>
        <v>8</v>
      </c>
      <c r="K15" s="136">
        <v>55</v>
      </c>
      <c r="L15" s="142" t="s">
        <v>102</v>
      </c>
      <c r="M15" s="142" t="s">
        <v>103</v>
      </c>
      <c r="N15" s="140" t="s">
        <v>90</v>
      </c>
      <c r="O15" s="140" t="s">
        <v>104</v>
      </c>
    </row>
    <row r="16" spans="1:15" ht="25.5">
      <c r="A16" s="140">
        <v>11</v>
      </c>
      <c r="B16" s="140" t="s">
        <v>99</v>
      </c>
      <c r="C16" s="144">
        <v>137</v>
      </c>
      <c r="D16" s="136">
        <v>126</v>
      </c>
      <c r="E16" s="136">
        <v>38.5</v>
      </c>
      <c r="F16" s="136">
        <v>24.2</v>
      </c>
      <c r="G16" s="136">
        <v>5.5</v>
      </c>
      <c r="H16" s="137">
        <v>3.3</v>
      </c>
      <c r="I16" s="137">
        <v>3.9</v>
      </c>
      <c r="J16" s="137">
        <f t="shared" si="0"/>
        <v>7.1999999999999993</v>
      </c>
      <c r="K16" s="136">
        <v>50</v>
      </c>
      <c r="L16" s="142" t="s">
        <v>105</v>
      </c>
      <c r="M16" s="142" t="s">
        <v>106</v>
      </c>
      <c r="N16" s="140" t="s">
        <v>90</v>
      </c>
      <c r="O16" s="140" t="s">
        <v>107</v>
      </c>
    </row>
    <row r="17" spans="1:15" ht="25.5">
      <c r="A17" s="140">
        <v>12</v>
      </c>
      <c r="B17" s="140" t="s">
        <v>99</v>
      </c>
      <c r="C17" s="144">
        <v>27</v>
      </c>
      <c r="D17" s="136">
        <v>150</v>
      </c>
      <c r="E17" s="136">
        <v>58.5</v>
      </c>
      <c r="F17" s="136">
        <v>18.3</v>
      </c>
      <c r="G17" s="136">
        <v>8</v>
      </c>
      <c r="H17" s="137">
        <v>7.15</v>
      </c>
      <c r="I17" s="137">
        <v>4.8</v>
      </c>
      <c r="J17" s="137">
        <f t="shared" si="0"/>
        <v>11.95</v>
      </c>
      <c r="K17" s="136">
        <v>72</v>
      </c>
      <c r="L17" s="142" t="s">
        <v>108</v>
      </c>
      <c r="M17" s="142" t="s">
        <v>109</v>
      </c>
      <c r="N17" s="140" t="s">
        <v>90</v>
      </c>
      <c r="O17" s="140" t="s">
        <v>110</v>
      </c>
    </row>
    <row r="18" spans="1:15" ht="51">
      <c r="A18" s="140">
        <v>13</v>
      </c>
      <c r="B18" s="140" t="s">
        <v>99</v>
      </c>
      <c r="C18" s="144">
        <v>27</v>
      </c>
      <c r="D18" s="136">
        <v>141</v>
      </c>
      <c r="E18" s="136">
        <v>45</v>
      </c>
      <c r="F18" s="136">
        <v>27.8</v>
      </c>
      <c r="G18" s="136">
        <v>8</v>
      </c>
      <c r="H18" s="137">
        <v>3.85</v>
      </c>
      <c r="I18" s="137">
        <v>3.1</v>
      </c>
      <c r="J18" s="137">
        <f t="shared" si="0"/>
        <v>6.95</v>
      </c>
      <c r="K18" s="136">
        <v>68</v>
      </c>
      <c r="L18" s="142" t="s">
        <v>108</v>
      </c>
      <c r="M18" s="142" t="s">
        <v>111</v>
      </c>
      <c r="N18" s="140" t="s">
        <v>90</v>
      </c>
      <c r="O18" s="140" t="s">
        <v>96</v>
      </c>
    </row>
    <row r="19" spans="1:15" ht="38.25">
      <c r="A19" s="140">
        <v>14</v>
      </c>
      <c r="B19" s="140" t="s">
        <v>99</v>
      </c>
      <c r="C19" s="144">
        <v>137</v>
      </c>
      <c r="D19" s="136">
        <v>127</v>
      </c>
      <c r="E19" s="136">
        <v>38</v>
      </c>
      <c r="F19" s="136">
        <v>23</v>
      </c>
      <c r="G19" s="136">
        <v>5</v>
      </c>
      <c r="H19" s="137">
        <v>3.3</v>
      </c>
      <c r="I19" s="137">
        <v>3.65</v>
      </c>
      <c r="J19" s="137">
        <f t="shared" si="0"/>
        <v>6.9499999999999993</v>
      </c>
      <c r="K19" s="136">
        <v>48</v>
      </c>
      <c r="L19" s="142" t="s">
        <v>105</v>
      </c>
      <c r="M19" s="142" t="s">
        <v>112</v>
      </c>
      <c r="N19" s="140" t="s">
        <v>90</v>
      </c>
      <c r="O19" s="140" t="s">
        <v>113</v>
      </c>
    </row>
    <row r="20" spans="1:15" ht="51">
      <c r="A20" s="140">
        <v>15</v>
      </c>
      <c r="B20" s="140" t="s">
        <v>114</v>
      </c>
      <c r="C20" s="144">
        <v>112</v>
      </c>
      <c r="D20" s="136">
        <v>128</v>
      </c>
      <c r="E20" s="136">
        <v>40</v>
      </c>
      <c r="F20" s="136">
        <v>17.100000000000001</v>
      </c>
      <c r="G20" s="136">
        <v>6.1</v>
      </c>
      <c r="H20" s="137">
        <v>3.1</v>
      </c>
      <c r="I20" s="137">
        <v>2.35</v>
      </c>
      <c r="J20" s="137">
        <f t="shared" si="0"/>
        <v>5.45</v>
      </c>
      <c r="K20" s="136">
        <v>50</v>
      </c>
      <c r="L20" s="142" t="s">
        <v>81</v>
      </c>
      <c r="M20" s="142" t="s">
        <v>115</v>
      </c>
      <c r="N20" s="140" t="s">
        <v>116</v>
      </c>
      <c r="O20" s="140" t="s">
        <v>117</v>
      </c>
    </row>
    <row r="21" spans="1:15" ht="25.5">
      <c r="A21" s="140">
        <v>16</v>
      </c>
      <c r="B21" s="140" t="s">
        <v>114</v>
      </c>
      <c r="C21" s="144">
        <v>112</v>
      </c>
      <c r="D21" s="136">
        <v>140</v>
      </c>
      <c r="E21" s="136">
        <v>42.5</v>
      </c>
      <c r="F21" s="136">
        <v>16.899999999999999</v>
      </c>
      <c r="G21" s="136">
        <v>6.2</v>
      </c>
      <c r="H21" s="137">
        <v>4.5</v>
      </c>
      <c r="I21" s="137">
        <v>3.45</v>
      </c>
      <c r="J21" s="137">
        <f t="shared" si="0"/>
        <v>7.95</v>
      </c>
      <c r="K21" s="136">
        <v>50</v>
      </c>
      <c r="L21" s="142" t="s">
        <v>81</v>
      </c>
      <c r="M21" s="142" t="s">
        <v>118</v>
      </c>
      <c r="N21" s="140" t="s">
        <v>116</v>
      </c>
      <c r="O21" s="140" t="s">
        <v>119</v>
      </c>
    </row>
    <row r="22" spans="1:15" ht="38.25">
      <c r="A22" s="140">
        <v>17</v>
      </c>
      <c r="B22" s="140" t="s">
        <v>114</v>
      </c>
      <c r="C22" s="144">
        <v>112</v>
      </c>
      <c r="D22" s="136">
        <v>128</v>
      </c>
      <c r="E22" s="136">
        <v>47.5</v>
      </c>
      <c r="F22" s="136">
        <v>19.7</v>
      </c>
      <c r="G22" s="136">
        <v>7.7</v>
      </c>
      <c r="H22" s="137">
        <v>3.9</v>
      </c>
      <c r="I22" s="137">
        <v>2.8</v>
      </c>
      <c r="J22" s="137">
        <f t="shared" si="0"/>
        <v>6.6999999999999993</v>
      </c>
      <c r="K22" s="136">
        <v>50</v>
      </c>
      <c r="L22" s="142" t="s">
        <v>81</v>
      </c>
      <c r="M22" s="142" t="s">
        <v>120</v>
      </c>
      <c r="N22" s="140" t="s">
        <v>116</v>
      </c>
      <c r="O22" s="140" t="s">
        <v>121</v>
      </c>
    </row>
    <row r="23" spans="1:15" ht="38.25">
      <c r="A23" s="140">
        <v>18</v>
      </c>
      <c r="B23" s="140" t="s">
        <v>99</v>
      </c>
      <c r="C23" s="144">
        <v>111</v>
      </c>
      <c r="D23" s="136">
        <v>183</v>
      </c>
      <c r="E23" s="136">
        <v>63</v>
      </c>
      <c r="F23" s="136">
        <v>23.1</v>
      </c>
      <c r="G23" s="136">
        <v>9.5</v>
      </c>
      <c r="H23" s="137">
        <v>4.95</v>
      </c>
      <c r="I23" s="137">
        <v>4.9000000000000004</v>
      </c>
      <c r="J23" s="137">
        <f t="shared" si="0"/>
        <v>9.8500000000000014</v>
      </c>
      <c r="K23" s="136">
        <v>115</v>
      </c>
      <c r="L23" s="142" t="s">
        <v>122</v>
      </c>
      <c r="M23" s="142" t="s">
        <v>123</v>
      </c>
      <c r="N23" s="140" t="s">
        <v>90</v>
      </c>
      <c r="O23" s="140" t="s">
        <v>124</v>
      </c>
    </row>
    <row r="24" spans="1:15" ht="25.5">
      <c r="A24" s="140">
        <v>19</v>
      </c>
      <c r="B24" s="140" t="s">
        <v>99</v>
      </c>
      <c r="C24" s="144">
        <v>111</v>
      </c>
      <c r="D24" s="136">
        <v>116</v>
      </c>
      <c r="E24" s="136">
        <v>49</v>
      </c>
      <c r="F24" s="136">
        <v>21.6</v>
      </c>
      <c r="G24" s="136">
        <v>8</v>
      </c>
      <c r="H24" s="137">
        <v>3.9</v>
      </c>
      <c r="I24" s="137">
        <v>5</v>
      </c>
      <c r="J24" s="137">
        <f t="shared" si="0"/>
        <v>8.9</v>
      </c>
      <c r="K24" s="140" t="s">
        <v>125</v>
      </c>
      <c r="L24" s="142" t="s">
        <v>122</v>
      </c>
      <c r="M24" s="142" t="s">
        <v>126</v>
      </c>
      <c r="N24" s="140" t="s">
        <v>90</v>
      </c>
      <c r="O24" s="140" t="s">
        <v>127</v>
      </c>
    </row>
    <row r="25" spans="1:15" ht="51">
      <c r="A25" s="140">
        <v>20</v>
      </c>
      <c r="B25" s="140" t="s">
        <v>78</v>
      </c>
      <c r="C25" s="143" t="s">
        <v>128</v>
      </c>
      <c r="D25" s="136">
        <v>148</v>
      </c>
      <c r="E25" s="136">
        <v>52.5</v>
      </c>
      <c r="F25" s="136">
        <v>26.5</v>
      </c>
      <c r="G25" s="136">
        <v>9.5</v>
      </c>
      <c r="H25" s="137">
        <v>6</v>
      </c>
      <c r="I25" s="137">
        <v>3.9</v>
      </c>
      <c r="J25" s="137">
        <f t="shared" si="0"/>
        <v>9.9</v>
      </c>
      <c r="K25" s="136">
        <v>45</v>
      </c>
      <c r="L25" s="142" t="s">
        <v>81</v>
      </c>
      <c r="M25" s="142" t="s">
        <v>129</v>
      </c>
      <c r="N25" s="140" t="s">
        <v>90</v>
      </c>
      <c r="O25" s="140" t="s">
        <v>130</v>
      </c>
    </row>
    <row r="26" spans="1:15" ht="38.25">
      <c r="A26" s="140">
        <v>21</v>
      </c>
      <c r="B26" s="140" t="s">
        <v>78</v>
      </c>
      <c r="C26" s="143" t="s">
        <v>128</v>
      </c>
      <c r="D26" s="136">
        <v>179</v>
      </c>
      <c r="E26" s="136">
        <v>56</v>
      </c>
      <c r="F26" s="136">
        <v>28.2</v>
      </c>
      <c r="G26" s="136">
        <v>14</v>
      </c>
      <c r="H26" s="137">
        <v>4.4000000000000004</v>
      </c>
      <c r="I26" s="137">
        <v>3</v>
      </c>
      <c r="J26" s="137">
        <f t="shared" si="0"/>
        <v>7.4</v>
      </c>
      <c r="K26" s="136">
        <v>50</v>
      </c>
      <c r="L26" s="142" t="s">
        <v>81</v>
      </c>
      <c r="M26" s="142" t="s">
        <v>131</v>
      </c>
      <c r="N26" s="140" t="s">
        <v>132</v>
      </c>
      <c r="O26" s="140" t="s">
        <v>133</v>
      </c>
    </row>
    <row r="27" spans="1:15" ht="25.5">
      <c r="A27" s="140">
        <v>22</v>
      </c>
      <c r="B27" s="140" t="s">
        <v>134</v>
      </c>
      <c r="C27" s="143" t="s">
        <v>125</v>
      </c>
      <c r="D27" s="136">
        <v>166</v>
      </c>
      <c r="E27" s="136">
        <v>79.5</v>
      </c>
      <c r="F27" s="136">
        <v>32.5</v>
      </c>
      <c r="G27" s="136">
        <v>10</v>
      </c>
      <c r="H27" s="137">
        <v>5.8</v>
      </c>
      <c r="I27" s="137">
        <v>5.05</v>
      </c>
      <c r="J27" s="137">
        <f t="shared" si="0"/>
        <v>10.85</v>
      </c>
      <c r="K27" s="136">
        <v>60</v>
      </c>
      <c r="L27" s="142" t="s">
        <v>135</v>
      </c>
      <c r="M27" s="142" t="s">
        <v>136</v>
      </c>
      <c r="N27" s="140" t="s">
        <v>125</v>
      </c>
      <c r="O27" s="140" t="s">
        <v>137</v>
      </c>
    </row>
    <row r="50" spans="1:14">
      <c r="A50" s="141"/>
      <c r="B50" s="141" t="s">
        <v>138</v>
      </c>
    </row>
    <row r="51" spans="1:14">
      <c r="A51" s="141" t="s">
        <v>139</v>
      </c>
      <c r="B51" s="141" t="s">
        <v>140</v>
      </c>
    </row>
    <row r="52" spans="1:14">
      <c r="A52" s="141" t="s">
        <v>141</v>
      </c>
      <c r="B52" s="141"/>
    </row>
    <row r="58" spans="1:14">
      <c r="A58" s="140" t="s">
        <v>142</v>
      </c>
    </row>
    <row r="59" spans="1:14">
      <c r="A59" s="140" t="s">
        <v>143</v>
      </c>
    </row>
    <row r="62" spans="1:14">
      <c r="A62" s="140" t="s">
        <v>144</v>
      </c>
    </row>
    <row r="63" spans="1:14" ht="51">
      <c r="A63" s="140" t="s">
        <v>1467</v>
      </c>
      <c r="B63" s="140" t="s">
        <v>145</v>
      </c>
      <c r="C63" s="142" t="s">
        <v>20</v>
      </c>
      <c r="D63" s="142" t="s">
        <v>50</v>
      </c>
      <c r="E63" s="142" t="s">
        <v>146</v>
      </c>
      <c r="F63" s="145" t="s">
        <v>147</v>
      </c>
      <c r="G63" s="142" t="s">
        <v>148</v>
      </c>
      <c r="H63" s="142" t="s">
        <v>149</v>
      </c>
      <c r="I63" s="145" t="s">
        <v>150</v>
      </c>
      <c r="J63" s="142" t="s">
        <v>151</v>
      </c>
      <c r="K63" s="142" t="s">
        <v>152</v>
      </c>
      <c r="L63" s="142" t="s">
        <v>153</v>
      </c>
      <c r="M63" s="142" t="s">
        <v>154</v>
      </c>
      <c r="N63" s="142" t="s">
        <v>155</v>
      </c>
    </row>
    <row r="64" spans="1:14">
      <c r="A64" s="136">
        <v>1</v>
      </c>
      <c r="B64" s="140" t="s">
        <v>55</v>
      </c>
      <c r="C64" s="136">
        <v>166</v>
      </c>
      <c r="D64" s="136">
        <v>32.5</v>
      </c>
      <c r="E64" s="136">
        <v>76.599999999999994</v>
      </c>
      <c r="F64" s="146">
        <f>E64-0.3</f>
        <v>76.3</v>
      </c>
      <c r="G64" s="136">
        <v>6.25</v>
      </c>
      <c r="H64" s="136">
        <v>71</v>
      </c>
      <c r="I64" s="147">
        <f>SQRT(H64/3.14159*4)</f>
        <v>9.5078958783676697</v>
      </c>
      <c r="J64" s="136">
        <v>51390</v>
      </c>
      <c r="K64" s="136">
        <v>2.9750000000000001</v>
      </c>
      <c r="L64" s="136">
        <v>57.6</v>
      </c>
      <c r="M64" s="136">
        <v>166</v>
      </c>
      <c r="N64" s="136">
        <v>573</v>
      </c>
    </row>
    <row r="65" spans="1:14">
      <c r="A65" s="136">
        <v>2</v>
      </c>
      <c r="B65" s="140" t="s">
        <v>55</v>
      </c>
      <c r="C65" s="136">
        <v>165</v>
      </c>
      <c r="D65" s="136">
        <v>33.299999999999997</v>
      </c>
      <c r="E65" s="136">
        <v>56.8</v>
      </c>
      <c r="F65" s="146">
        <f>E65-0.3</f>
        <v>56.5</v>
      </c>
      <c r="G65" s="136">
        <v>4.18</v>
      </c>
      <c r="H65" s="136">
        <v>40</v>
      </c>
      <c r="I65" s="147">
        <f>SQRT(H65/3.14159*4)</f>
        <v>7.1364994785833371</v>
      </c>
      <c r="J65" s="136">
        <v>31600</v>
      </c>
      <c r="K65" s="136">
        <v>1.9490000000000001</v>
      </c>
      <c r="L65" s="136">
        <v>40</v>
      </c>
      <c r="M65" s="136">
        <v>112</v>
      </c>
      <c r="N65" s="136">
        <v>363</v>
      </c>
    </row>
    <row r="66" spans="1:14">
      <c r="A66" s="136">
        <v>3</v>
      </c>
      <c r="B66" s="140" t="s">
        <v>55</v>
      </c>
      <c r="C66" s="136">
        <v>166</v>
      </c>
      <c r="D66" s="136">
        <v>29.5</v>
      </c>
      <c r="E66" s="136">
        <v>47.8</v>
      </c>
      <c r="F66" s="146">
        <f>E66-0.3</f>
        <v>47.5</v>
      </c>
      <c r="G66" s="136">
        <v>2.48</v>
      </c>
      <c r="H66" s="136">
        <v>32</v>
      </c>
      <c r="I66" s="147">
        <f>SQRT(H66/3.14159*4)</f>
        <v>6.3830791822016586</v>
      </c>
      <c r="J66" s="136">
        <v>19960</v>
      </c>
      <c r="K66" s="136">
        <v>2.641</v>
      </c>
      <c r="L66" s="136">
        <v>44.4</v>
      </c>
      <c r="M66" s="136">
        <v>139.5</v>
      </c>
      <c r="N66" s="136">
        <v>211</v>
      </c>
    </row>
    <row r="67" spans="1:14">
      <c r="A67" s="136">
        <v>4</v>
      </c>
      <c r="B67" s="140" t="s">
        <v>55</v>
      </c>
      <c r="C67" s="136">
        <v>156</v>
      </c>
      <c r="D67" s="136">
        <v>31.5</v>
      </c>
      <c r="E67" s="136">
        <v>39.4</v>
      </c>
      <c r="F67" s="146">
        <f>E67-0.3</f>
        <v>39.1</v>
      </c>
      <c r="G67" s="136">
        <v>2.17</v>
      </c>
      <c r="H67" s="136">
        <v>10</v>
      </c>
      <c r="I67" s="147">
        <f>SQRT(H67/3.14159*4)</f>
        <v>3.5682497392916686</v>
      </c>
      <c r="J67" s="136">
        <v>7980</v>
      </c>
      <c r="K67" s="136">
        <v>2.2719999999999998</v>
      </c>
      <c r="L67" s="136">
        <v>48</v>
      </c>
      <c r="M67" s="136">
        <v>132</v>
      </c>
      <c r="N67" s="136">
        <v>93</v>
      </c>
    </row>
    <row r="69" spans="1:14">
      <c r="A69" s="141"/>
      <c r="B69" s="141" t="s">
        <v>138</v>
      </c>
    </row>
    <row r="70" spans="1:14">
      <c r="A70" s="141"/>
      <c r="B70" s="141" t="s">
        <v>156</v>
      </c>
    </row>
    <row r="72" spans="1:14">
      <c r="A72" s="140" t="s">
        <v>142</v>
      </c>
    </row>
    <row r="73" spans="1:14">
      <c r="A73" s="140" t="s">
        <v>157</v>
      </c>
    </row>
    <row r="76" spans="1:14">
      <c r="A76" s="141" t="s">
        <v>158</v>
      </c>
    </row>
    <row r="77" spans="1:14">
      <c r="A77" s="136" t="s">
        <v>1492</v>
      </c>
    </row>
    <row r="78" spans="1:14">
      <c r="A78" s="140" t="s">
        <v>159</v>
      </c>
    </row>
    <row r="80" spans="1:14" ht="38.25">
      <c r="A80" s="138" t="s">
        <v>160</v>
      </c>
      <c r="B80" s="136" t="s">
        <v>1494</v>
      </c>
      <c r="E80" s="136" t="s">
        <v>1495</v>
      </c>
    </row>
    <row r="81" spans="1:9" ht="25.5">
      <c r="B81" s="138" t="s">
        <v>161</v>
      </c>
      <c r="C81" s="138" t="s">
        <v>162</v>
      </c>
      <c r="D81" s="138" t="s">
        <v>163</v>
      </c>
      <c r="E81" s="138" t="s">
        <v>164</v>
      </c>
      <c r="F81" s="138" t="s">
        <v>1496</v>
      </c>
      <c r="G81" s="138" t="s">
        <v>165</v>
      </c>
      <c r="H81" s="138" t="s">
        <v>1497</v>
      </c>
      <c r="I81" s="148" t="s">
        <v>166</v>
      </c>
    </row>
    <row r="82" spans="1:9">
      <c r="A82" s="136">
        <v>4</v>
      </c>
      <c r="B82" s="138">
        <v>0.4</v>
      </c>
      <c r="C82" s="138">
        <v>0.7</v>
      </c>
      <c r="D82" s="136">
        <v>1.1000000000000001</v>
      </c>
      <c r="E82" s="136">
        <v>0.8</v>
      </c>
      <c r="F82" s="136">
        <v>0.52</v>
      </c>
      <c r="G82" s="136">
        <v>2.4</v>
      </c>
      <c r="H82" s="136">
        <v>0.4</v>
      </c>
      <c r="I82" s="147">
        <f>SQRT(E82/PI()*4)</f>
        <v>1.009253008808064</v>
      </c>
    </row>
    <row r="83" spans="1:9">
      <c r="A83" s="136">
        <v>6</v>
      </c>
      <c r="B83" s="136">
        <v>0.7</v>
      </c>
      <c r="C83" s="136">
        <v>1.3</v>
      </c>
      <c r="D83" s="136">
        <v>2</v>
      </c>
      <c r="E83" s="136">
        <v>1.6</v>
      </c>
      <c r="F83" s="136">
        <v>0.51</v>
      </c>
      <c r="G83" s="136">
        <v>6.3</v>
      </c>
      <c r="H83" s="136">
        <v>1.6</v>
      </c>
      <c r="I83" s="147">
        <f t="shared" ref="I83:I105" si="1">SQRT(E83/PI()*4)</f>
        <v>1.4272992929222168</v>
      </c>
    </row>
    <row r="84" spans="1:9">
      <c r="A84" s="136">
        <v>8</v>
      </c>
      <c r="B84" s="136">
        <v>1</v>
      </c>
      <c r="C84" s="136">
        <v>1.9</v>
      </c>
      <c r="D84" s="136">
        <v>2.9</v>
      </c>
      <c r="E84" s="136">
        <v>2.4</v>
      </c>
      <c r="F84" s="136">
        <v>0.5</v>
      </c>
      <c r="G84" s="136">
        <v>11.9</v>
      </c>
      <c r="H84" s="136">
        <v>3.4</v>
      </c>
      <c r="I84" s="147">
        <f t="shared" si="1"/>
        <v>1.7480774889473265</v>
      </c>
    </row>
    <row r="85" spans="1:9">
      <c r="A85" s="136">
        <v>10</v>
      </c>
      <c r="B85" s="136">
        <v>1.3</v>
      </c>
      <c r="C85" s="136">
        <v>2.4</v>
      </c>
      <c r="D85" s="136">
        <v>3.7</v>
      </c>
      <c r="E85" s="136">
        <v>3.3</v>
      </c>
      <c r="F85" s="136">
        <v>0.5</v>
      </c>
      <c r="G85" s="136">
        <v>17.5</v>
      </c>
      <c r="H85" s="136">
        <v>6.1</v>
      </c>
      <c r="I85" s="147">
        <f t="shared" si="1"/>
        <v>2.0498025508877769</v>
      </c>
    </row>
    <row r="86" spans="1:9">
      <c r="A86" s="136">
        <v>12</v>
      </c>
      <c r="B86" s="136">
        <v>1.6</v>
      </c>
      <c r="C86" s="136">
        <v>2.8</v>
      </c>
      <c r="D86" s="136">
        <v>4.4000000000000004</v>
      </c>
      <c r="E86" s="136">
        <v>4.2</v>
      </c>
      <c r="F86" s="136">
        <v>0.49</v>
      </c>
      <c r="G86" s="136">
        <v>23</v>
      </c>
      <c r="H86" s="136">
        <v>9</v>
      </c>
      <c r="I86" s="147">
        <f t="shared" si="1"/>
        <v>2.3124891541124435</v>
      </c>
    </row>
    <row r="87" spans="1:9">
      <c r="A87" s="136">
        <v>14</v>
      </c>
      <c r="B87" s="136">
        <v>1.9</v>
      </c>
      <c r="C87" s="136">
        <v>3.1</v>
      </c>
      <c r="D87" s="136">
        <v>5</v>
      </c>
      <c r="E87" s="136">
        <v>5.0999999999999996</v>
      </c>
      <c r="F87" s="136">
        <v>0.49</v>
      </c>
      <c r="G87" s="136">
        <v>29</v>
      </c>
      <c r="H87" s="136">
        <v>12</v>
      </c>
      <c r="I87" s="147">
        <f t="shared" si="1"/>
        <v>2.548238936628457</v>
      </c>
    </row>
    <row r="88" spans="1:9">
      <c r="A88" s="136">
        <v>16</v>
      </c>
      <c r="B88" s="136">
        <v>2.1</v>
      </c>
      <c r="C88" s="136">
        <v>3.5</v>
      </c>
      <c r="D88" s="136">
        <v>5.6</v>
      </c>
      <c r="E88" s="136">
        <v>6</v>
      </c>
      <c r="F88" s="136">
        <v>0.48</v>
      </c>
      <c r="G88" s="136">
        <v>35</v>
      </c>
      <c r="H88" s="136">
        <v>16</v>
      </c>
      <c r="I88" s="147">
        <f t="shared" si="1"/>
        <v>2.763953195770684</v>
      </c>
    </row>
    <row r="89" spans="1:9">
      <c r="A89" s="136">
        <v>18</v>
      </c>
      <c r="B89" s="136">
        <v>2.2999999999999998</v>
      </c>
      <c r="C89" s="136">
        <v>3.8</v>
      </c>
      <c r="D89" s="136">
        <v>6.1</v>
      </c>
      <c r="E89" s="136">
        <v>6.9</v>
      </c>
      <c r="F89" s="136">
        <v>0.48</v>
      </c>
      <c r="G89" s="136">
        <v>40</v>
      </c>
      <c r="H89" s="136">
        <v>20</v>
      </c>
      <c r="I89" s="147">
        <f t="shared" si="1"/>
        <v>2.9640095915284457</v>
      </c>
    </row>
    <row r="90" spans="1:9">
      <c r="A90" s="136">
        <v>20</v>
      </c>
      <c r="B90" s="136">
        <v>2.5</v>
      </c>
      <c r="C90" s="136">
        <v>4</v>
      </c>
      <c r="D90" s="136">
        <v>6.5</v>
      </c>
      <c r="E90" s="136">
        <v>7.8</v>
      </c>
      <c r="F90" s="136">
        <v>0.48</v>
      </c>
      <c r="G90" s="136">
        <v>46</v>
      </c>
      <c r="H90" s="136">
        <v>24</v>
      </c>
      <c r="I90" s="147">
        <f t="shared" si="1"/>
        <v>3.1513915099419605</v>
      </c>
    </row>
    <row r="91" spans="1:9">
      <c r="A91" s="136">
        <v>22</v>
      </c>
      <c r="B91" s="136">
        <v>2.6</v>
      </c>
      <c r="C91" s="136">
        <v>4.3</v>
      </c>
      <c r="D91" s="136">
        <v>6.9</v>
      </c>
      <c r="E91" s="136">
        <v>8.8000000000000007</v>
      </c>
      <c r="F91" s="136">
        <v>0.47</v>
      </c>
      <c r="G91" s="136">
        <v>52</v>
      </c>
      <c r="H91" s="136">
        <v>29</v>
      </c>
      <c r="I91" s="147">
        <f t="shared" si="1"/>
        <v>3.3473135487536019</v>
      </c>
    </row>
    <row r="92" spans="1:9">
      <c r="A92" s="136">
        <v>24</v>
      </c>
      <c r="B92" s="136">
        <v>2.7</v>
      </c>
      <c r="C92" s="136">
        <v>4.5</v>
      </c>
      <c r="D92" s="136">
        <v>7.2</v>
      </c>
      <c r="E92" s="136">
        <v>9.9</v>
      </c>
      <c r="F92" s="136">
        <v>0.47</v>
      </c>
      <c r="G92" s="136">
        <v>58</v>
      </c>
      <c r="H92" s="136">
        <v>34</v>
      </c>
      <c r="I92" s="147">
        <f t="shared" si="1"/>
        <v>3.5503621636219189</v>
      </c>
    </row>
    <row r="93" spans="1:9">
      <c r="A93" s="136">
        <v>26</v>
      </c>
      <c r="B93" s="136">
        <v>2.8</v>
      </c>
      <c r="C93" s="136">
        <v>4.7</v>
      </c>
      <c r="D93" s="136">
        <v>7.5</v>
      </c>
      <c r="E93" s="136">
        <v>11</v>
      </c>
      <c r="F93" s="136">
        <v>0.47</v>
      </c>
      <c r="G93" s="136">
        <v>64</v>
      </c>
      <c r="H93" s="136">
        <v>39</v>
      </c>
      <c r="I93" s="147">
        <f t="shared" si="1"/>
        <v>3.7424103185095552</v>
      </c>
    </row>
    <row r="94" spans="1:9">
      <c r="A94" s="136">
        <v>28</v>
      </c>
      <c r="B94" s="136">
        <v>2.9</v>
      </c>
      <c r="C94" s="136">
        <v>4.9000000000000004</v>
      </c>
      <c r="D94" s="136">
        <v>7.8</v>
      </c>
      <c r="E94" s="136">
        <v>12.1</v>
      </c>
      <c r="F94" s="136">
        <v>0.47</v>
      </c>
      <c r="G94" s="136">
        <v>70</v>
      </c>
      <c r="H94" s="136">
        <v>44</v>
      </c>
      <c r="I94" s="147">
        <f t="shared" si="1"/>
        <v>3.9250730555360964</v>
      </c>
    </row>
    <row r="95" spans="1:9">
      <c r="A95" s="136">
        <v>30</v>
      </c>
      <c r="B95" s="136">
        <v>3</v>
      </c>
      <c r="C95" s="136">
        <v>5</v>
      </c>
      <c r="D95" s="136">
        <v>8</v>
      </c>
      <c r="E95" s="136">
        <v>13.3</v>
      </c>
      <c r="F95" s="136">
        <v>0.46</v>
      </c>
      <c r="G95" s="136">
        <v>76</v>
      </c>
      <c r="H95" s="136">
        <v>49</v>
      </c>
      <c r="I95" s="147">
        <f t="shared" si="1"/>
        <v>4.1151046092387089</v>
      </c>
    </row>
    <row r="96" spans="1:9">
      <c r="A96" s="136">
        <v>32</v>
      </c>
      <c r="B96" s="136">
        <v>3.1</v>
      </c>
      <c r="C96" s="136">
        <v>5.2</v>
      </c>
      <c r="D96" s="136">
        <v>8.3000000000000007</v>
      </c>
      <c r="E96" s="136">
        <v>14.5</v>
      </c>
      <c r="F96" s="136">
        <v>0.46</v>
      </c>
      <c r="G96" s="136">
        <v>82</v>
      </c>
      <c r="H96" s="136">
        <v>55</v>
      </c>
      <c r="I96" s="147">
        <f t="shared" si="1"/>
        <v>4.2967398569915609</v>
      </c>
    </row>
    <row r="97" spans="1:16">
      <c r="A97" s="136">
        <v>34</v>
      </c>
      <c r="B97" s="136">
        <v>3.1</v>
      </c>
      <c r="C97" s="136">
        <v>5.4</v>
      </c>
      <c r="D97" s="136">
        <v>8.5</v>
      </c>
      <c r="E97" s="136">
        <v>15.8</v>
      </c>
      <c r="F97" s="136">
        <v>0.46</v>
      </c>
      <c r="G97" s="136">
        <v>88</v>
      </c>
      <c r="H97" s="136">
        <v>61</v>
      </c>
      <c r="I97" s="147">
        <f t="shared" si="1"/>
        <v>4.4852184792733976</v>
      </c>
    </row>
    <row r="98" spans="1:16">
      <c r="A98" s="136">
        <v>36</v>
      </c>
      <c r="B98" s="136">
        <v>3.2</v>
      </c>
      <c r="C98" s="136">
        <v>5.5</v>
      </c>
      <c r="D98" s="136">
        <v>8.6999999999999993</v>
      </c>
      <c r="E98" s="136">
        <v>17.100000000000001</v>
      </c>
      <c r="F98" s="136">
        <v>0.46</v>
      </c>
      <c r="G98" s="136">
        <v>94</v>
      </c>
      <c r="H98" s="136">
        <v>68</v>
      </c>
      <c r="I98" s="147">
        <f t="shared" si="1"/>
        <v>4.6660900350262517</v>
      </c>
    </row>
    <row r="99" spans="1:16">
      <c r="A99" s="136">
        <v>38</v>
      </c>
      <c r="B99" s="136">
        <v>3.2</v>
      </c>
      <c r="C99" s="136">
        <v>5.7</v>
      </c>
      <c r="D99" s="136">
        <v>8.9</v>
      </c>
      <c r="E99" s="136">
        <v>18.5</v>
      </c>
      <c r="F99" s="136">
        <v>0.46</v>
      </c>
      <c r="G99" s="136">
        <v>100</v>
      </c>
      <c r="H99" s="136">
        <v>75</v>
      </c>
      <c r="I99" s="147">
        <f t="shared" si="1"/>
        <v>4.8533423099551207</v>
      </c>
    </row>
    <row r="100" spans="1:16">
      <c r="A100" s="136">
        <v>40</v>
      </c>
      <c r="B100" s="136">
        <v>3.3</v>
      </c>
      <c r="C100" s="136">
        <v>5.8</v>
      </c>
      <c r="D100" s="136">
        <v>9.1</v>
      </c>
      <c r="E100" s="136">
        <v>20.9</v>
      </c>
      <c r="F100" s="136">
        <v>0.45</v>
      </c>
      <c r="G100" s="136">
        <v>106</v>
      </c>
      <c r="H100" s="136">
        <v>83</v>
      </c>
      <c r="I100" s="147">
        <f t="shared" si="1"/>
        <v>5.1585566280661199</v>
      </c>
    </row>
    <row r="101" spans="1:16">
      <c r="A101" s="136">
        <v>42</v>
      </c>
      <c r="B101" s="136">
        <v>3.3</v>
      </c>
      <c r="C101" s="136">
        <v>5.9</v>
      </c>
      <c r="D101" s="136">
        <v>9.1999999999999993</v>
      </c>
      <c r="E101" s="136">
        <v>21.6</v>
      </c>
      <c r="F101" s="136">
        <v>0.45</v>
      </c>
      <c r="G101" s="136">
        <v>112</v>
      </c>
      <c r="H101" s="136">
        <v>91</v>
      </c>
      <c r="I101" s="147">
        <f t="shared" si="1"/>
        <v>5.2442324668419795</v>
      </c>
    </row>
    <row r="102" spans="1:16">
      <c r="A102" s="136">
        <v>44</v>
      </c>
      <c r="B102" s="136">
        <v>3.3</v>
      </c>
      <c r="C102" s="136">
        <v>6</v>
      </c>
      <c r="D102" s="136">
        <v>9.3000000000000007</v>
      </c>
      <c r="E102" s="136">
        <v>23.4</v>
      </c>
      <c r="F102" s="136">
        <v>0.45</v>
      </c>
      <c r="G102" s="136">
        <v>118</v>
      </c>
      <c r="H102" s="136">
        <v>100</v>
      </c>
      <c r="I102" s="147">
        <f t="shared" si="1"/>
        <v>5.4583702097606759</v>
      </c>
    </row>
    <row r="103" spans="1:16">
      <c r="A103" s="136">
        <v>46</v>
      </c>
      <c r="B103" s="136">
        <v>3.4</v>
      </c>
      <c r="C103" s="136">
        <v>6.1</v>
      </c>
      <c r="D103" s="136">
        <v>9.5</v>
      </c>
      <c r="E103" s="136">
        <v>25.4</v>
      </c>
      <c r="F103" s="136">
        <v>0.45</v>
      </c>
      <c r="G103" s="136">
        <v>124</v>
      </c>
      <c r="H103" s="136">
        <v>110</v>
      </c>
      <c r="I103" s="147">
        <f t="shared" si="1"/>
        <v>5.686851891536576</v>
      </c>
    </row>
    <row r="104" spans="1:16">
      <c r="A104" s="136">
        <v>48</v>
      </c>
      <c r="B104" s="136">
        <v>3.4</v>
      </c>
      <c r="C104" s="136">
        <v>6.2</v>
      </c>
      <c r="D104" s="136">
        <v>9.6</v>
      </c>
      <c r="E104" s="136">
        <v>27.7</v>
      </c>
      <c r="F104" s="136">
        <v>0.45</v>
      </c>
      <c r="G104" s="136">
        <v>130</v>
      </c>
      <c r="H104" s="136">
        <v>121</v>
      </c>
      <c r="I104" s="147">
        <f t="shared" si="1"/>
        <v>5.9387486383213766</v>
      </c>
    </row>
    <row r="105" spans="1:16">
      <c r="A105" s="136">
        <v>50</v>
      </c>
      <c r="B105" s="136">
        <v>3.5</v>
      </c>
      <c r="C105" s="136">
        <v>6.2</v>
      </c>
      <c r="D105" s="136">
        <v>9.6999999999999993</v>
      </c>
      <c r="E105" s="136">
        <v>30.4</v>
      </c>
      <c r="F105" s="136">
        <v>0.45</v>
      </c>
      <c r="G105" s="136">
        <v>135</v>
      </c>
      <c r="H105" s="136">
        <v>133</v>
      </c>
      <c r="I105" s="147">
        <f t="shared" si="1"/>
        <v>6.221453380035002</v>
      </c>
    </row>
    <row r="107" spans="1:16"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</row>
    <row r="108" spans="1:16">
      <c r="A108" s="149" t="s">
        <v>167</v>
      </c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</row>
    <row r="109" spans="1:16">
      <c r="A109" s="41" t="s">
        <v>168</v>
      </c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</row>
    <row r="110" spans="1:16">
      <c r="A110" s="41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</row>
    <row r="111" spans="1:16">
      <c r="A111" s="41" t="s">
        <v>1498</v>
      </c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</row>
    <row r="112" spans="1:16" ht="21">
      <c r="A112" s="110" t="s">
        <v>169</v>
      </c>
      <c r="B112" s="110" t="s">
        <v>170</v>
      </c>
      <c r="C112" s="43" t="s">
        <v>1500</v>
      </c>
      <c r="D112" s="43"/>
      <c r="E112" s="43" t="s">
        <v>1455</v>
      </c>
      <c r="F112" s="43"/>
      <c r="G112" s="44" t="s">
        <v>1501</v>
      </c>
      <c r="H112" s="44"/>
      <c r="I112" s="43" t="s">
        <v>1502</v>
      </c>
      <c r="J112" s="43"/>
      <c r="K112" s="44" t="s">
        <v>171</v>
      </c>
      <c r="L112" s="44"/>
      <c r="M112" s="44" t="s">
        <v>1503</v>
      </c>
      <c r="N112" s="44"/>
      <c r="O112" s="44"/>
      <c r="P112" s="42"/>
    </row>
    <row r="113" spans="1:16">
      <c r="A113" s="150"/>
      <c r="B113" s="150"/>
      <c r="C113" s="110" t="s">
        <v>172</v>
      </c>
      <c r="D113" s="109" t="s">
        <v>173</v>
      </c>
      <c r="E113" s="110" t="s">
        <v>174</v>
      </c>
      <c r="F113" s="110" t="s">
        <v>173</v>
      </c>
      <c r="G113" s="110" t="s">
        <v>172</v>
      </c>
      <c r="H113" s="110" t="s">
        <v>173</v>
      </c>
      <c r="I113" s="110" t="s">
        <v>172</v>
      </c>
      <c r="J113" s="110" t="s">
        <v>175</v>
      </c>
      <c r="K113" s="110" t="s">
        <v>172</v>
      </c>
      <c r="L113" s="109" t="s">
        <v>176</v>
      </c>
      <c r="M113" s="110" t="s">
        <v>1455</v>
      </c>
      <c r="N113" s="110" t="s">
        <v>177</v>
      </c>
      <c r="O113" s="110" t="s">
        <v>1502</v>
      </c>
      <c r="P113" s="151" t="s">
        <v>178</v>
      </c>
    </row>
    <row r="114" spans="1:16">
      <c r="A114" s="45" t="s">
        <v>1463</v>
      </c>
      <c r="B114" s="45" t="s">
        <v>179</v>
      </c>
      <c r="C114" s="45" t="s">
        <v>1458</v>
      </c>
      <c r="D114" s="45" t="s">
        <v>1458</v>
      </c>
      <c r="E114" s="45" t="s">
        <v>1458</v>
      </c>
      <c r="F114" s="45" t="s">
        <v>1458</v>
      </c>
      <c r="G114" s="45" t="s">
        <v>180</v>
      </c>
      <c r="H114" s="45" t="s">
        <v>180</v>
      </c>
      <c r="I114" s="45" t="s">
        <v>181</v>
      </c>
      <c r="J114" s="45" t="s">
        <v>181</v>
      </c>
      <c r="K114" s="45" t="s">
        <v>1477</v>
      </c>
      <c r="L114" s="45" t="s">
        <v>1477</v>
      </c>
      <c r="M114" s="45" t="s">
        <v>1458</v>
      </c>
      <c r="N114" s="45" t="s">
        <v>180</v>
      </c>
      <c r="O114" s="45" t="s">
        <v>181</v>
      </c>
      <c r="P114" s="151" t="s">
        <v>1469</v>
      </c>
    </row>
    <row r="115" spans="1:16">
      <c r="A115" s="46">
        <v>14</v>
      </c>
      <c r="B115" s="46">
        <v>9</v>
      </c>
      <c r="C115" s="46">
        <v>4</v>
      </c>
      <c r="D115" s="46">
        <v>36</v>
      </c>
      <c r="E115" s="46">
        <v>0.5</v>
      </c>
      <c r="F115" s="46">
        <v>5</v>
      </c>
      <c r="G115" s="46">
        <v>5.2</v>
      </c>
      <c r="H115" s="46">
        <v>47</v>
      </c>
      <c r="I115" s="46">
        <v>16.5</v>
      </c>
      <c r="J115" s="46">
        <v>149</v>
      </c>
      <c r="K115" s="46">
        <v>0.4</v>
      </c>
      <c r="L115" s="46">
        <v>4</v>
      </c>
      <c r="M115" s="46">
        <v>1.3</v>
      </c>
      <c r="N115" s="46">
        <v>13</v>
      </c>
      <c r="O115" s="46">
        <v>41.3</v>
      </c>
      <c r="P115" s="152">
        <f>SQRT(G115/PI()*4)</f>
        <v>2.5731003930322749</v>
      </c>
    </row>
    <row r="116" spans="1:16">
      <c r="A116" s="47">
        <v>16</v>
      </c>
      <c r="B116" s="47">
        <v>24</v>
      </c>
      <c r="C116" s="47">
        <v>14</v>
      </c>
      <c r="D116" s="47">
        <v>336</v>
      </c>
      <c r="E116" s="47">
        <v>2.4</v>
      </c>
      <c r="F116" s="47">
        <v>58</v>
      </c>
      <c r="G116" s="47">
        <v>5.8</v>
      </c>
      <c r="H116" s="47">
        <v>139</v>
      </c>
      <c r="I116" s="47">
        <v>19</v>
      </c>
      <c r="J116" s="47">
        <v>456</v>
      </c>
      <c r="K116" s="47">
        <v>2.1</v>
      </c>
      <c r="L116" s="47">
        <v>50</v>
      </c>
      <c r="M116" s="47">
        <v>1.1000000000000001</v>
      </c>
      <c r="N116" s="47">
        <v>2.8</v>
      </c>
      <c r="O116" s="47">
        <v>9</v>
      </c>
      <c r="P116" s="152">
        <f t="shared" ref="P116:P128" si="2">SQRT(G116/PI()*4)</f>
        <v>2.717496892263898</v>
      </c>
    </row>
    <row r="117" spans="1:16">
      <c r="A117" s="47">
        <v>18</v>
      </c>
      <c r="B117" s="47">
        <v>39</v>
      </c>
      <c r="C117" s="47">
        <v>24</v>
      </c>
      <c r="D117" s="47">
        <v>936</v>
      </c>
      <c r="E117" s="47">
        <v>4.8</v>
      </c>
      <c r="F117" s="47">
        <v>187</v>
      </c>
      <c r="G117" s="47">
        <v>6.7</v>
      </c>
      <c r="H117" s="47">
        <v>261</v>
      </c>
      <c r="I117" s="47">
        <v>22.3</v>
      </c>
      <c r="J117" s="47">
        <v>870</v>
      </c>
      <c r="K117" s="47">
        <v>4.5</v>
      </c>
      <c r="L117" s="47">
        <v>176</v>
      </c>
      <c r="M117" s="47">
        <v>1.1000000000000001</v>
      </c>
      <c r="N117" s="47">
        <v>1.5</v>
      </c>
      <c r="O117" s="47">
        <v>5</v>
      </c>
      <c r="P117" s="152">
        <f t="shared" si="2"/>
        <v>2.9207370559031141</v>
      </c>
    </row>
    <row r="118" spans="1:16">
      <c r="A118" s="47">
        <v>20</v>
      </c>
      <c r="B118" s="47">
        <v>57</v>
      </c>
      <c r="C118" s="47">
        <v>33</v>
      </c>
      <c r="D118" s="47">
        <v>1881</v>
      </c>
      <c r="E118" s="47">
        <v>7.6</v>
      </c>
      <c r="F118" s="47">
        <v>433</v>
      </c>
      <c r="G118" s="47">
        <v>7.7</v>
      </c>
      <c r="H118" s="47">
        <v>439</v>
      </c>
      <c r="I118" s="47">
        <v>26.6</v>
      </c>
      <c r="J118" s="47">
        <v>1516</v>
      </c>
      <c r="K118" s="47">
        <v>7.8</v>
      </c>
      <c r="L118" s="47">
        <v>445</v>
      </c>
      <c r="M118" s="47">
        <v>1</v>
      </c>
      <c r="N118" s="47">
        <v>1</v>
      </c>
      <c r="O118" s="47">
        <v>3.4</v>
      </c>
      <c r="P118" s="152">
        <f t="shared" si="2"/>
        <v>3.1311251163856024</v>
      </c>
    </row>
    <row r="119" spans="1:16">
      <c r="A119" s="47">
        <v>22</v>
      </c>
      <c r="B119" s="47">
        <v>42</v>
      </c>
      <c r="C119" s="47">
        <v>43</v>
      </c>
      <c r="D119" s="47">
        <v>1806</v>
      </c>
      <c r="E119" s="47">
        <v>10.5</v>
      </c>
      <c r="F119" s="47">
        <v>441</v>
      </c>
      <c r="G119" s="47">
        <v>8.9</v>
      </c>
      <c r="H119" s="47">
        <v>374</v>
      </c>
      <c r="I119" s="47">
        <v>32.6</v>
      </c>
      <c r="J119" s="47">
        <v>1369</v>
      </c>
      <c r="K119" s="47">
        <v>11.3</v>
      </c>
      <c r="L119" s="47">
        <v>475</v>
      </c>
      <c r="M119" s="47">
        <v>0.9</v>
      </c>
      <c r="N119" s="47">
        <v>0.8</v>
      </c>
      <c r="O119" s="47">
        <v>2.9</v>
      </c>
      <c r="P119" s="152">
        <f t="shared" si="2"/>
        <v>3.3662786498064814</v>
      </c>
    </row>
    <row r="120" spans="1:16">
      <c r="A120" s="47">
        <v>24</v>
      </c>
      <c r="B120" s="47">
        <v>63</v>
      </c>
      <c r="C120" s="47">
        <v>53</v>
      </c>
      <c r="D120" s="47">
        <v>3339</v>
      </c>
      <c r="E120" s="47">
        <v>13.7</v>
      </c>
      <c r="F120" s="47">
        <v>863</v>
      </c>
      <c r="G120" s="47">
        <v>10.4</v>
      </c>
      <c r="H120" s="47">
        <v>655</v>
      </c>
      <c r="I120" s="47">
        <v>40.700000000000003</v>
      </c>
      <c r="J120" s="47">
        <v>2564</v>
      </c>
      <c r="K120" s="47">
        <v>15.2</v>
      </c>
      <c r="L120" s="47">
        <v>958</v>
      </c>
      <c r="M120" s="47">
        <v>0.9</v>
      </c>
      <c r="N120" s="47">
        <v>0.7</v>
      </c>
      <c r="O120" s="47">
        <v>2.7</v>
      </c>
      <c r="P120" s="152">
        <f t="shared" si="2"/>
        <v>3.6389134731737842</v>
      </c>
    </row>
    <row r="121" spans="1:16">
      <c r="A121" s="47">
        <v>26</v>
      </c>
      <c r="B121" s="47">
        <v>60</v>
      </c>
      <c r="C121" s="47">
        <v>65</v>
      </c>
      <c r="D121" s="47">
        <v>3900</v>
      </c>
      <c r="E121" s="47">
        <v>17.2</v>
      </c>
      <c r="F121" s="47">
        <v>1032</v>
      </c>
      <c r="G121" s="47">
        <v>12.2</v>
      </c>
      <c r="H121" s="47">
        <v>732</v>
      </c>
      <c r="I121" s="47">
        <v>51.1</v>
      </c>
      <c r="J121" s="47">
        <v>3066</v>
      </c>
      <c r="K121" s="47">
        <v>19.5</v>
      </c>
      <c r="L121" s="47">
        <v>1170</v>
      </c>
      <c r="M121" s="47">
        <v>0.9</v>
      </c>
      <c r="N121" s="47">
        <v>0.6</v>
      </c>
      <c r="O121" s="47">
        <v>2.6</v>
      </c>
      <c r="P121" s="152">
        <f t="shared" si="2"/>
        <v>3.9412589924754986</v>
      </c>
    </row>
    <row r="122" spans="1:16">
      <c r="A122" s="47">
        <v>28</v>
      </c>
      <c r="B122" s="47">
        <v>78</v>
      </c>
      <c r="C122" s="47">
        <v>80</v>
      </c>
      <c r="D122" s="47">
        <v>6240</v>
      </c>
      <c r="E122" s="47">
        <v>21.3</v>
      </c>
      <c r="F122" s="47">
        <v>1661</v>
      </c>
      <c r="G122" s="47">
        <v>14.2</v>
      </c>
      <c r="H122" s="47">
        <v>1108</v>
      </c>
      <c r="I122" s="47">
        <v>63.5</v>
      </c>
      <c r="J122" s="47">
        <v>4953</v>
      </c>
      <c r="K122" s="47">
        <v>24</v>
      </c>
      <c r="L122" s="47">
        <v>1.8720000000000001</v>
      </c>
      <c r="M122" s="47">
        <v>0.9</v>
      </c>
      <c r="N122" s="47">
        <v>0.6</v>
      </c>
      <c r="O122" s="47">
        <v>2.6</v>
      </c>
      <c r="P122" s="152">
        <f t="shared" si="2"/>
        <v>4.2520585056228128</v>
      </c>
    </row>
    <row r="123" spans="1:16">
      <c r="A123" s="47">
        <v>30</v>
      </c>
      <c r="B123" s="47">
        <v>75</v>
      </c>
      <c r="C123" s="47">
        <v>99</v>
      </c>
      <c r="D123" s="47">
        <v>7425</v>
      </c>
      <c r="E123" s="47">
        <v>26</v>
      </c>
      <c r="F123" s="47">
        <v>1950</v>
      </c>
      <c r="G123" s="47">
        <v>16.399999999999999</v>
      </c>
      <c r="H123" s="47">
        <v>1230</v>
      </c>
      <c r="I123" s="47">
        <v>78.400000000000006</v>
      </c>
      <c r="J123" s="47">
        <v>5880</v>
      </c>
      <c r="K123" s="47">
        <v>28.7</v>
      </c>
      <c r="L123" s="47">
        <v>2153</v>
      </c>
      <c r="M123" s="47">
        <v>0.9</v>
      </c>
      <c r="N123" s="47">
        <v>0.6</v>
      </c>
      <c r="O123" s="47">
        <v>2.7</v>
      </c>
      <c r="P123" s="152">
        <f t="shared" si="2"/>
        <v>4.5695873482905069</v>
      </c>
    </row>
    <row r="124" spans="1:16">
      <c r="A124" s="47">
        <v>32</v>
      </c>
      <c r="B124" s="47">
        <v>60</v>
      </c>
      <c r="C124" s="47">
        <v>120</v>
      </c>
      <c r="D124" s="47">
        <v>7200</v>
      </c>
      <c r="E124" s="47">
        <v>31.7</v>
      </c>
      <c r="F124" s="47">
        <v>1920</v>
      </c>
      <c r="G124" s="47">
        <v>18.600000000000001</v>
      </c>
      <c r="H124" s="47">
        <v>1116</v>
      </c>
      <c r="I124" s="47">
        <v>93.9</v>
      </c>
      <c r="J124" s="47">
        <v>5634</v>
      </c>
      <c r="K124" s="47">
        <v>33.5</v>
      </c>
      <c r="L124" s="47">
        <v>2010</v>
      </c>
      <c r="M124" s="47">
        <v>0.9</v>
      </c>
      <c r="N124" s="47">
        <v>0.6</v>
      </c>
      <c r="O124" s="47">
        <v>2.8</v>
      </c>
      <c r="P124" s="152">
        <f t="shared" si="2"/>
        <v>4.8664417732131584</v>
      </c>
    </row>
    <row r="125" spans="1:16">
      <c r="A125" s="47">
        <v>34</v>
      </c>
      <c r="B125" s="47">
        <v>45</v>
      </c>
      <c r="C125" s="47">
        <v>146</v>
      </c>
      <c r="D125" s="47">
        <v>6570</v>
      </c>
      <c r="E125" s="47">
        <v>38.4</v>
      </c>
      <c r="F125" s="47">
        <v>1728</v>
      </c>
      <c r="G125" s="47">
        <v>20.6</v>
      </c>
      <c r="H125" s="47">
        <v>927</v>
      </c>
      <c r="I125" s="47">
        <v>109.4</v>
      </c>
      <c r="J125" s="47">
        <v>4923</v>
      </c>
      <c r="K125" s="47">
        <v>38.200000000000003</v>
      </c>
      <c r="L125" s="47">
        <v>1719</v>
      </c>
      <c r="M125" s="47">
        <v>1</v>
      </c>
      <c r="N125" s="47">
        <v>0.5</v>
      </c>
      <c r="O125" s="47">
        <v>2.9</v>
      </c>
      <c r="P125" s="152">
        <f t="shared" si="2"/>
        <v>5.1213996740680523</v>
      </c>
    </row>
    <row r="126" spans="1:16">
      <c r="A126" s="47">
        <v>36</v>
      </c>
      <c r="B126" s="47">
        <v>27</v>
      </c>
      <c r="C126" s="47">
        <v>176</v>
      </c>
      <c r="D126" s="47">
        <v>4752</v>
      </c>
      <c r="E126" s="47">
        <v>46.5</v>
      </c>
      <c r="F126" s="47">
        <v>1256</v>
      </c>
      <c r="G126" s="47">
        <v>22.6</v>
      </c>
      <c r="H126" s="47">
        <v>610</v>
      </c>
      <c r="I126" s="47">
        <v>124.3</v>
      </c>
      <c r="J126" s="47">
        <v>3356</v>
      </c>
      <c r="K126" s="47">
        <v>42.9</v>
      </c>
      <c r="L126" s="47">
        <v>1158</v>
      </c>
      <c r="M126" s="47">
        <v>1.1000000000000001</v>
      </c>
      <c r="N126" s="47">
        <v>0.5</v>
      </c>
      <c r="O126" s="47">
        <v>2.9</v>
      </c>
      <c r="P126" s="152">
        <f t="shared" si="2"/>
        <v>5.3642533227854443</v>
      </c>
    </row>
    <row r="127" spans="1:16">
      <c r="A127" s="47">
        <v>38</v>
      </c>
      <c r="B127" s="47">
        <v>18</v>
      </c>
      <c r="C127" s="47">
        <v>214</v>
      </c>
      <c r="D127" s="47">
        <v>3852</v>
      </c>
      <c r="E127" s="48">
        <v>56.7</v>
      </c>
      <c r="F127" s="49">
        <v>1021</v>
      </c>
      <c r="G127" s="47">
        <v>24.3</v>
      </c>
      <c r="H127" s="47">
        <v>437</v>
      </c>
      <c r="I127" s="47">
        <v>137.9</v>
      </c>
      <c r="J127" s="47">
        <v>2482</v>
      </c>
      <c r="K127" s="47">
        <v>47.6</v>
      </c>
      <c r="L127" s="47">
        <v>857</v>
      </c>
      <c r="M127" s="47">
        <v>1.2</v>
      </c>
      <c r="N127" s="47">
        <v>0.5</v>
      </c>
      <c r="O127" s="47">
        <v>2.9</v>
      </c>
      <c r="P127" s="152">
        <f t="shared" si="2"/>
        <v>5.5623485091339298</v>
      </c>
    </row>
    <row r="128" spans="1:16">
      <c r="A128" s="50">
        <v>40</v>
      </c>
      <c r="B128" s="45">
        <v>3</v>
      </c>
      <c r="C128" s="45">
        <v>264</v>
      </c>
      <c r="D128" s="45">
        <v>792</v>
      </c>
      <c r="E128" s="45">
        <v>69.8</v>
      </c>
      <c r="F128" s="45">
        <v>209</v>
      </c>
      <c r="G128" s="45">
        <v>25.6</v>
      </c>
      <c r="H128" s="45">
        <v>77</v>
      </c>
      <c r="I128" s="45">
        <v>149.5</v>
      </c>
      <c r="J128" s="45">
        <v>449</v>
      </c>
      <c r="K128" s="45">
        <v>52.2</v>
      </c>
      <c r="L128" s="45">
        <v>157</v>
      </c>
      <c r="M128" s="45">
        <v>1.3</v>
      </c>
      <c r="N128" s="45">
        <v>0.5</v>
      </c>
      <c r="O128" s="45">
        <v>2.9</v>
      </c>
      <c r="P128" s="152">
        <f t="shared" si="2"/>
        <v>5.7091971716888672</v>
      </c>
    </row>
    <row r="130" spans="1:17">
      <c r="A130" s="55" t="s">
        <v>1509</v>
      </c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</row>
    <row r="131" spans="1:17">
      <c r="A131" s="56" t="s">
        <v>1487</v>
      </c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</row>
    <row r="132" spans="1:17">
      <c r="A132" s="55" t="s">
        <v>1510</v>
      </c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</row>
    <row r="133" spans="1:17">
      <c r="A133" s="55" t="s">
        <v>1511</v>
      </c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</row>
    <row r="134" spans="1:17">
      <c r="A134" s="56" t="s">
        <v>1487</v>
      </c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</row>
    <row r="135" spans="1:17">
      <c r="A135" s="321" t="s">
        <v>1623</v>
      </c>
      <c r="B135" s="321" t="s">
        <v>1624</v>
      </c>
      <c r="C135" s="57" t="s">
        <v>1500</v>
      </c>
      <c r="D135" s="57"/>
      <c r="E135" s="57" t="s">
        <v>1455</v>
      </c>
      <c r="F135" s="57"/>
      <c r="G135" s="58" t="s">
        <v>1501</v>
      </c>
      <c r="H135" s="58"/>
      <c r="I135" s="57" t="s">
        <v>1502</v>
      </c>
      <c r="J135" s="57"/>
      <c r="K135" s="322" t="s">
        <v>1631</v>
      </c>
      <c r="L135" s="323"/>
      <c r="M135" s="58" t="s">
        <v>1503</v>
      </c>
      <c r="N135" s="58"/>
      <c r="O135" s="58"/>
      <c r="P135" s="56"/>
    </row>
    <row r="136" spans="1:17">
      <c r="A136" s="312"/>
      <c r="B136" s="312"/>
      <c r="C136" s="321" t="s">
        <v>1626</v>
      </c>
      <c r="D136" s="324" t="s">
        <v>1625</v>
      </c>
      <c r="E136" s="321" t="s">
        <v>1626</v>
      </c>
      <c r="F136" s="321" t="s">
        <v>1625</v>
      </c>
      <c r="G136" s="321" t="s">
        <v>1627</v>
      </c>
      <c r="H136" s="321" t="s">
        <v>1628</v>
      </c>
      <c r="I136" s="321" t="s">
        <v>1629</v>
      </c>
      <c r="J136" s="321" t="s">
        <v>1630</v>
      </c>
      <c r="K136" s="321" t="s">
        <v>1632</v>
      </c>
      <c r="L136" s="324" t="s">
        <v>1633</v>
      </c>
      <c r="M136" s="321" t="s">
        <v>1634</v>
      </c>
      <c r="N136" s="321" t="s">
        <v>1635</v>
      </c>
      <c r="O136" s="321" t="s">
        <v>1636</v>
      </c>
      <c r="P136" s="167" t="s">
        <v>263</v>
      </c>
    </row>
    <row r="137" spans="1:17">
      <c r="A137" s="312"/>
      <c r="B137" s="312"/>
      <c r="C137" s="312"/>
      <c r="D137" s="312"/>
      <c r="E137" s="312"/>
      <c r="F137" s="312"/>
      <c r="G137" s="312"/>
      <c r="H137" s="312"/>
      <c r="I137" s="312"/>
      <c r="J137" s="312"/>
      <c r="K137" s="312"/>
      <c r="L137" s="312"/>
      <c r="M137" s="312"/>
      <c r="N137" s="312"/>
      <c r="O137" s="312"/>
      <c r="P137" s="167" t="s">
        <v>1469</v>
      </c>
    </row>
    <row r="138" spans="1:17">
      <c r="A138" s="312"/>
      <c r="B138" s="312"/>
      <c r="C138" s="312"/>
      <c r="D138" s="312"/>
      <c r="E138" s="312"/>
      <c r="F138" s="312"/>
      <c r="G138" s="312"/>
      <c r="H138" s="312"/>
      <c r="I138" s="312"/>
      <c r="J138" s="312"/>
      <c r="K138" s="312"/>
      <c r="L138" s="312"/>
      <c r="M138" s="312"/>
      <c r="N138" s="312"/>
      <c r="O138" s="312"/>
      <c r="P138" s="167"/>
    </row>
    <row r="139" spans="1:17">
      <c r="A139" s="62">
        <v>20</v>
      </c>
      <c r="B139" s="62">
        <v>12</v>
      </c>
      <c r="C139" s="62">
        <v>24</v>
      </c>
      <c r="D139" s="62">
        <v>288</v>
      </c>
      <c r="E139" s="62">
        <v>7.6</v>
      </c>
      <c r="F139" s="62">
        <v>91</v>
      </c>
      <c r="G139" s="62">
        <v>5.2</v>
      </c>
      <c r="H139" s="62">
        <v>62</v>
      </c>
      <c r="I139" s="62">
        <v>7</v>
      </c>
      <c r="J139" s="62">
        <v>84</v>
      </c>
      <c r="K139" s="62">
        <v>6.7</v>
      </c>
      <c r="L139" s="62">
        <v>80</v>
      </c>
      <c r="M139" s="62">
        <v>1.1000000000000001</v>
      </c>
      <c r="N139" s="62">
        <v>0.8</v>
      </c>
      <c r="O139" s="62">
        <v>1.1000000000000001</v>
      </c>
      <c r="P139" s="168">
        <f>SQRT(G139/PI()*4)</f>
        <v>2.5731003930322749</v>
      </c>
    </row>
    <row r="140" spans="1:17">
      <c r="A140" s="62">
        <v>22</v>
      </c>
      <c r="B140" s="62">
        <v>24</v>
      </c>
      <c r="C140" s="62">
        <v>35</v>
      </c>
      <c r="D140" s="62">
        <v>840</v>
      </c>
      <c r="E140" s="62">
        <v>9.9</v>
      </c>
      <c r="F140" s="62">
        <v>238</v>
      </c>
      <c r="G140" s="62">
        <v>6.5</v>
      </c>
      <c r="H140" s="62">
        <v>156</v>
      </c>
      <c r="I140" s="62">
        <v>10.5</v>
      </c>
      <c r="J140" s="62">
        <v>252</v>
      </c>
      <c r="K140" s="62">
        <v>7.8</v>
      </c>
      <c r="L140" s="62">
        <v>187</v>
      </c>
      <c r="M140" s="62">
        <v>1.3</v>
      </c>
      <c r="N140" s="62">
        <v>0.8</v>
      </c>
      <c r="O140" s="62">
        <v>1.3</v>
      </c>
      <c r="P140" s="168">
        <f t="shared" ref="P140:P151" si="3">SQRT(G140/PI()*4)</f>
        <v>2.8768136958757959</v>
      </c>
    </row>
    <row r="141" spans="1:17">
      <c r="A141" s="62">
        <v>24</v>
      </c>
      <c r="B141" s="62">
        <v>40</v>
      </c>
      <c r="C141" s="62">
        <v>49</v>
      </c>
      <c r="D141" s="62">
        <v>1960</v>
      </c>
      <c r="E141" s="62">
        <v>12.3</v>
      </c>
      <c r="F141" s="62">
        <v>492</v>
      </c>
      <c r="G141" s="62">
        <v>7.9</v>
      </c>
      <c r="H141" s="62">
        <v>316</v>
      </c>
      <c r="I141" s="62">
        <v>15</v>
      </c>
      <c r="J141" s="62">
        <v>600</v>
      </c>
      <c r="K141" s="62">
        <v>9.1</v>
      </c>
      <c r="L141" s="62">
        <v>364</v>
      </c>
      <c r="M141" s="62">
        <v>1.4</v>
      </c>
      <c r="N141" s="62">
        <v>0.9</v>
      </c>
      <c r="O141" s="62">
        <v>1.6</v>
      </c>
      <c r="P141" s="168">
        <f t="shared" si="3"/>
        <v>3.1715284017974339</v>
      </c>
    </row>
    <row r="142" spans="1:17">
      <c r="A142" s="62">
        <v>26</v>
      </c>
      <c r="B142" s="62">
        <v>54</v>
      </c>
      <c r="C142" s="62">
        <v>65</v>
      </c>
      <c r="D142" s="62">
        <v>3510</v>
      </c>
      <c r="E142" s="62">
        <v>14.9</v>
      </c>
      <c r="F142" s="62">
        <v>805</v>
      </c>
      <c r="G142" s="62">
        <v>9.4</v>
      </c>
      <c r="H142" s="62">
        <v>508</v>
      </c>
      <c r="I142" s="62">
        <v>20.5</v>
      </c>
      <c r="J142" s="62">
        <v>1107</v>
      </c>
      <c r="K142" s="62">
        <v>10.6</v>
      </c>
      <c r="L142" s="62">
        <v>572</v>
      </c>
      <c r="M142" s="62">
        <v>1.4</v>
      </c>
      <c r="N142" s="62">
        <v>0.9</v>
      </c>
      <c r="O142" s="62">
        <v>1.9</v>
      </c>
      <c r="P142" s="168">
        <f t="shared" si="3"/>
        <v>3.4595450164017998</v>
      </c>
    </row>
    <row r="143" spans="1:17">
      <c r="A143" s="62">
        <v>28</v>
      </c>
      <c r="B143" s="62">
        <v>78</v>
      </c>
      <c r="C143" s="62">
        <v>83</v>
      </c>
      <c r="D143" s="62">
        <v>6474</v>
      </c>
      <c r="E143" s="62">
        <v>17.8</v>
      </c>
      <c r="F143" s="62">
        <v>1388</v>
      </c>
      <c r="G143" s="62">
        <v>11</v>
      </c>
      <c r="H143" s="62">
        <v>858</v>
      </c>
      <c r="I143" s="62">
        <v>27.2</v>
      </c>
      <c r="J143" s="62">
        <v>2122</v>
      </c>
      <c r="K143" s="62">
        <v>12.5</v>
      </c>
      <c r="L143" s="62">
        <v>975</v>
      </c>
      <c r="M143" s="62">
        <v>1.4</v>
      </c>
      <c r="N143" s="62">
        <v>0.9</v>
      </c>
      <c r="O143" s="62">
        <v>2.2000000000000002</v>
      </c>
      <c r="P143" s="168">
        <f t="shared" si="3"/>
        <v>3.7424103185095552</v>
      </c>
    </row>
    <row r="144" spans="1:17">
      <c r="A144" s="62">
        <v>30</v>
      </c>
      <c r="B144" s="62">
        <v>62</v>
      </c>
      <c r="C144" s="62">
        <v>103</v>
      </c>
      <c r="D144" s="62">
        <v>6386</v>
      </c>
      <c r="E144" s="62">
        <v>21</v>
      </c>
      <c r="F144" s="62">
        <v>1302</v>
      </c>
      <c r="G144" s="62">
        <v>12.7</v>
      </c>
      <c r="H144" s="62">
        <v>787</v>
      </c>
      <c r="I144" s="62">
        <v>35.299999999999997</v>
      </c>
      <c r="J144" s="62">
        <v>2189</v>
      </c>
      <c r="K144" s="62">
        <v>14.7</v>
      </c>
      <c r="L144" s="62">
        <v>911</v>
      </c>
      <c r="M144" s="62">
        <v>1.4</v>
      </c>
      <c r="N144" s="62">
        <v>0.9</v>
      </c>
      <c r="O144" s="62">
        <v>2.4</v>
      </c>
      <c r="P144" s="168">
        <f t="shared" si="3"/>
        <v>4.0212115361090577</v>
      </c>
    </row>
    <row r="145" spans="1:18">
      <c r="A145" s="62">
        <v>32</v>
      </c>
      <c r="B145" s="62">
        <v>78</v>
      </c>
      <c r="C145" s="62">
        <v>126</v>
      </c>
      <c r="D145" s="62">
        <v>9828</v>
      </c>
      <c r="E145" s="62">
        <v>24.6</v>
      </c>
      <c r="F145" s="62">
        <v>1919</v>
      </c>
      <c r="G145" s="62">
        <v>14.7</v>
      </c>
      <c r="H145" s="62">
        <v>1147</v>
      </c>
      <c r="I145" s="62">
        <v>45.4</v>
      </c>
      <c r="J145" s="62">
        <v>3541</v>
      </c>
      <c r="K145" s="62">
        <v>17.2</v>
      </c>
      <c r="L145" s="62">
        <v>1342</v>
      </c>
      <c r="M145" s="62">
        <v>1.4</v>
      </c>
      <c r="N145" s="62">
        <v>0.9</v>
      </c>
      <c r="O145" s="62">
        <v>2.6</v>
      </c>
      <c r="P145" s="168">
        <f t="shared" si="3"/>
        <v>4.3262710626597238</v>
      </c>
    </row>
    <row r="146" spans="1:18">
      <c r="A146" s="62">
        <v>34</v>
      </c>
      <c r="B146" s="62">
        <v>50</v>
      </c>
      <c r="C146" s="62">
        <v>152</v>
      </c>
      <c r="D146" s="62">
        <v>7600</v>
      </c>
      <c r="E146" s="62">
        <v>28.6</v>
      </c>
      <c r="F146" s="62">
        <v>1430</v>
      </c>
      <c r="G146" s="62">
        <v>17</v>
      </c>
      <c r="H146" s="62">
        <v>850</v>
      </c>
      <c r="I146" s="62">
        <v>58.1</v>
      </c>
      <c r="J146" s="62">
        <v>2905</v>
      </c>
      <c r="K146" s="62">
        <v>19.8</v>
      </c>
      <c r="L146" s="62">
        <v>990</v>
      </c>
      <c r="M146" s="62">
        <v>1.4</v>
      </c>
      <c r="N146" s="62">
        <v>0.9</v>
      </c>
      <c r="O146" s="62">
        <v>2.9</v>
      </c>
      <c r="P146" s="168">
        <f t="shared" si="3"/>
        <v>4.6524264916812781</v>
      </c>
    </row>
    <row r="147" spans="1:18">
      <c r="A147" s="62">
        <v>36</v>
      </c>
      <c r="B147" s="62">
        <v>44</v>
      </c>
      <c r="C147" s="62">
        <v>181</v>
      </c>
      <c r="D147" s="62">
        <v>7964</v>
      </c>
      <c r="E147" s="62">
        <v>33.200000000000003</v>
      </c>
      <c r="F147" s="62">
        <v>1461</v>
      </c>
      <c r="G147" s="62">
        <v>19.8</v>
      </c>
      <c r="H147" s="62">
        <v>871</v>
      </c>
      <c r="I147" s="62">
        <v>73.8</v>
      </c>
      <c r="J147" s="62">
        <v>3247</v>
      </c>
      <c r="K147" s="62">
        <v>22.7</v>
      </c>
      <c r="L147" s="62">
        <v>999</v>
      </c>
      <c r="M147" s="62">
        <v>1.5</v>
      </c>
      <c r="N147" s="62">
        <v>0.9</v>
      </c>
      <c r="O147" s="62">
        <v>3.3</v>
      </c>
      <c r="P147" s="168">
        <f t="shared" si="3"/>
        <v>5.0209703231304035</v>
      </c>
    </row>
    <row r="148" spans="1:18">
      <c r="A148" s="62">
        <v>38</v>
      </c>
      <c r="B148" s="62">
        <v>36</v>
      </c>
      <c r="C148" s="62">
        <v>215</v>
      </c>
      <c r="D148" s="62">
        <v>7740</v>
      </c>
      <c r="E148" s="63">
        <v>38.1</v>
      </c>
      <c r="F148" s="63">
        <v>1372</v>
      </c>
      <c r="G148" s="62">
        <v>22.8</v>
      </c>
      <c r="H148" s="62">
        <v>821</v>
      </c>
      <c r="I148" s="62">
        <v>92</v>
      </c>
      <c r="J148" s="62">
        <v>3312</v>
      </c>
      <c r="K148" s="62">
        <v>25.8</v>
      </c>
      <c r="L148" s="62">
        <v>929</v>
      </c>
      <c r="M148" s="62">
        <v>1.5</v>
      </c>
      <c r="N148" s="62">
        <v>0.9</v>
      </c>
      <c r="O148" s="62">
        <v>3.6</v>
      </c>
      <c r="P148" s="168">
        <f t="shared" si="3"/>
        <v>5.3879366755708729</v>
      </c>
    </row>
    <row r="149" spans="1:18">
      <c r="A149" s="62">
        <v>40</v>
      </c>
      <c r="B149" s="62">
        <v>12</v>
      </c>
      <c r="C149" s="62">
        <v>256</v>
      </c>
      <c r="D149" s="62">
        <v>3072</v>
      </c>
      <c r="E149" s="62">
        <v>43</v>
      </c>
      <c r="F149" s="62">
        <v>516</v>
      </c>
      <c r="G149" s="62">
        <v>26.2</v>
      </c>
      <c r="H149" s="62">
        <v>314</v>
      </c>
      <c r="I149" s="62">
        <v>112.5</v>
      </c>
      <c r="J149" s="62">
        <v>1350</v>
      </c>
      <c r="K149" s="62">
        <v>29.1</v>
      </c>
      <c r="L149" s="62">
        <v>349</v>
      </c>
      <c r="M149" s="62">
        <v>1.5</v>
      </c>
      <c r="N149" s="62">
        <v>0.9</v>
      </c>
      <c r="O149" s="62">
        <v>3.9</v>
      </c>
      <c r="P149" s="168">
        <f t="shared" si="3"/>
        <v>5.7757143343539132</v>
      </c>
    </row>
    <row r="150" spans="1:18">
      <c r="A150" s="62">
        <v>42</v>
      </c>
      <c r="B150" s="62">
        <v>6</v>
      </c>
      <c r="C150" s="62">
        <v>304</v>
      </c>
      <c r="D150" s="62">
        <v>1824</v>
      </c>
      <c r="E150" s="62">
        <v>48</v>
      </c>
      <c r="F150" s="62">
        <v>288</v>
      </c>
      <c r="G150" s="62">
        <v>29.8</v>
      </c>
      <c r="H150" s="62">
        <v>179</v>
      </c>
      <c r="I150" s="62">
        <v>135.1</v>
      </c>
      <c r="J150" s="62">
        <v>811</v>
      </c>
      <c r="K150" s="62">
        <v>32.5</v>
      </c>
      <c r="L150" s="62">
        <v>195</v>
      </c>
      <c r="M150" s="62">
        <v>1.5</v>
      </c>
      <c r="N150" s="62">
        <v>0.9</v>
      </c>
      <c r="O150" s="62">
        <v>4.2</v>
      </c>
      <c r="P150" s="168">
        <f t="shared" si="3"/>
        <v>6.1597514911811055</v>
      </c>
    </row>
    <row r="151" spans="1:18">
      <c r="A151" s="60">
        <v>44</v>
      </c>
      <c r="B151" s="60">
        <v>2</v>
      </c>
      <c r="C151" s="60">
        <v>362</v>
      </c>
      <c r="D151" s="60">
        <v>724</v>
      </c>
      <c r="E151" s="60">
        <v>53.1</v>
      </c>
      <c r="F151" s="60">
        <v>106</v>
      </c>
      <c r="G151" s="60">
        <v>33.9</v>
      </c>
      <c r="H151" s="60">
        <v>68</v>
      </c>
      <c r="I151" s="60">
        <v>160.30000000000001</v>
      </c>
      <c r="J151" s="60">
        <v>321</v>
      </c>
      <c r="K151" s="60">
        <v>36</v>
      </c>
      <c r="L151" s="60">
        <v>72</v>
      </c>
      <c r="M151" s="60">
        <v>1.5</v>
      </c>
      <c r="N151" s="60">
        <v>0.9</v>
      </c>
      <c r="O151" s="60">
        <v>4.5</v>
      </c>
      <c r="P151" s="168">
        <f t="shared" si="3"/>
        <v>6.5698417459267624</v>
      </c>
    </row>
    <row r="153" spans="1:18">
      <c r="A153" s="97" t="s">
        <v>1616</v>
      </c>
      <c r="B153" s="97"/>
      <c r="C153" s="97"/>
      <c r="D153" s="97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  <c r="Q153" s="97"/>
      <c r="R153" s="97"/>
    </row>
    <row r="154" spans="1:18" ht="12.75" customHeight="1">
      <c r="A154" s="357" t="s">
        <v>1487</v>
      </c>
      <c r="B154" s="358"/>
      <c r="C154" s="359"/>
      <c r="D154" s="360" t="s">
        <v>1592</v>
      </c>
      <c r="E154" s="361"/>
      <c r="F154" s="361"/>
      <c r="G154" s="361"/>
      <c r="H154" s="362"/>
      <c r="I154" s="360" t="s">
        <v>1593</v>
      </c>
      <c r="J154" s="361"/>
      <c r="K154" s="362"/>
      <c r="L154" s="97"/>
    </row>
    <row r="155" spans="1:18" ht="24">
      <c r="A155" s="98" t="s">
        <v>1595</v>
      </c>
      <c r="B155" s="98" t="s">
        <v>1596</v>
      </c>
      <c r="C155" s="99" t="s">
        <v>1597</v>
      </c>
      <c r="D155" s="98" t="s">
        <v>1598</v>
      </c>
      <c r="E155" s="98" t="s">
        <v>1599</v>
      </c>
      <c r="F155" s="98" t="s">
        <v>1600</v>
      </c>
      <c r="G155" s="98" t="s">
        <v>1601</v>
      </c>
      <c r="H155" s="98" t="s">
        <v>1599</v>
      </c>
      <c r="I155" s="98" t="s">
        <v>1600</v>
      </c>
      <c r="J155" s="98" t="s">
        <v>1601</v>
      </c>
      <c r="K155" s="98" t="s">
        <v>1599</v>
      </c>
      <c r="L155" s="170" t="s">
        <v>265</v>
      </c>
    </row>
    <row r="156" spans="1:18">
      <c r="A156" s="99">
        <v>1</v>
      </c>
      <c r="B156" s="99">
        <v>27</v>
      </c>
      <c r="C156" s="99" t="s">
        <v>1607</v>
      </c>
      <c r="D156" s="99">
        <v>0.18</v>
      </c>
      <c r="E156" s="99">
        <v>95</v>
      </c>
      <c r="F156" s="99">
        <v>10.4</v>
      </c>
      <c r="G156" s="99">
        <v>251</v>
      </c>
      <c r="H156" s="99">
        <v>4.8</v>
      </c>
      <c r="I156" s="99">
        <v>2.98</v>
      </c>
      <c r="J156" s="99">
        <v>70</v>
      </c>
      <c r="K156" s="99">
        <v>2.91</v>
      </c>
      <c r="L156" s="171">
        <f>G156/100</f>
        <v>2.5099999999999998</v>
      </c>
    </row>
    <row r="157" spans="1:18">
      <c r="A157" s="99">
        <v>2</v>
      </c>
      <c r="B157" s="99">
        <v>31</v>
      </c>
      <c r="C157" s="99" t="s">
        <v>1608</v>
      </c>
      <c r="D157" s="99">
        <v>0.24199999999999999</v>
      </c>
      <c r="E157" s="99">
        <v>125</v>
      </c>
      <c r="F157" s="99">
        <v>12.1</v>
      </c>
      <c r="G157" s="99">
        <v>269</v>
      </c>
      <c r="H157" s="99">
        <v>6.3</v>
      </c>
      <c r="I157" s="99">
        <v>3.07</v>
      </c>
      <c r="J157" s="99">
        <v>71</v>
      </c>
      <c r="K157" s="99">
        <v>3.61</v>
      </c>
      <c r="L157" s="171">
        <f t="shared" ref="L157:L165" si="4">G157/100</f>
        <v>2.69</v>
      </c>
    </row>
    <row r="158" spans="1:18">
      <c r="A158" s="99">
        <v>3</v>
      </c>
      <c r="B158" s="99">
        <v>41</v>
      </c>
      <c r="C158" s="99" t="s">
        <v>1609</v>
      </c>
      <c r="D158" s="99">
        <v>0.34699999999999998</v>
      </c>
      <c r="E158" s="99">
        <v>149</v>
      </c>
      <c r="F158" s="99">
        <v>14.5</v>
      </c>
      <c r="G158" s="99">
        <v>328</v>
      </c>
      <c r="H158" s="99">
        <v>7.5</v>
      </c>
      <c r="I158" s="99">
        <v>3.69</v>
      </c>
      <c r="J158" s="99">
        <v>87</v>
      </c>
      <c r="K158" s="99">
        <v>4.42</v>
      </c>
      <c r="L158" s="171">
        <f t="shared" si="4"/>
        <v>3.28</v>
      </c>
    </row>
    <row r="159" spans="1:18">
      <c r="A159" s="99">
        <v>4</v>
      </c>
      <c r="B159" s="99">
        <v>54</v>
      </c>
      <c r="C159" s="99" t="s">
        <v>1610</v>
      </c>
      <c r="D159" s="99">
        <v>0.56200000000000006</v>
      </c>
      <c r="E159" s="99">
        <v>163</v>
      </c>
      <c r="F159" s="99">
        <v>18.7</v>
      </c>
      <c r="G159" s="99">
        <v>328</v>
      </c>
      <c r="H159" s="99">
        <v>8.1999999999999993</v>
      </c>
      <c r="I159" s="99">
        <v>4.0999999999999996</v>
      </c>
      <c r="J159" s="99">
        <v>94</v>
      </c>
      <c r="K159" s="99">
        <v>4.33</v>
      </c>
      <c r="L159" s="171">
        <f t="shared" si="4"/>
        <v>3.28</v>
      </c>
    </row>
    <row r="160" spans="1:18">
      <c r="A160" s="99">
        <v>5</v>
      </c>
      <c r="B160" s="99">
        <v>72</v>
      </c>
      <c r="C160" s="99" t="s">
        <v>1611</v>
      </c>
      <c r="D160" s="99">
        <v>0.82699999999999996</v>
      </c>
      <c r="E160" s="99">
        <v>286</v>
      </c>
      <c r="F160" s="99">
        <v>22.6</v>
      </c>
      <c r="G160" s="99">
        <v>451</v>
      </c>
      <c r="H160" s="99">
        <v>14.3</v>
      </c>
      <c r="I160" s="99">
        <v>4.67</v>
      </c>
      <c r="J160" s="99">
        <v>120</v>
      </c>
      <c r="K160" s="99">
        <v>6.47</v>
      </c>
      <c r="L160" s="171">
        <f t="shared" si="4"/>
        <v>4.51</v>
      </c>
    </row>
    <row r="161" spans="1:12">
      <c r="A161" s="99">
        <v>6</v>
      </c>
      <c r="B161" s="99">
        <v>77</v>
      </c>
      <c r="C161" s="99" t="s">
        <v>1612</v>
      </c>
      <c r="D161" s="99">
        <v>1.121</v>
      </c>
      <c r="E161" s="99">
        <v>265</v>
      </c>
      <c r="F161" s="99">
        <v>26.1</v>
      </c>
      <c r="G161" s="99">
        <v>402</v>
      </c>
      <c r="H161" s="99">
        <v>13.3</v>
      </c>
      <c r="I161" s="99">
        <v>6.06</v>
      </c>
      <c r="J161" s="99">
        <v>117</v>
      </c>
      <c r="K161" s="99">
        <v>7.59</v>
      </c>
      <c r="L161" s="171">
        <f t="shared" si="4"/>
        <v>4.0199999999999996</v>
      </c>
    </row>
    <row r="162" spans="1:12">
      <c r="A162" s="99">
        <v>7</v>
      </c>
      <c r="B162" s="99">
        <v>85</v>
      </c>
      <c r="C162" s="99" t="s">
        <v>1613</v>
      </c>
      <c r="D162" s="99">
        <v>0.60299999999999998</v>
      </c>
      <c r="E162" s="99">
        <v>212</v>
      </c>
      <c r="F162" s="99">
        <v>18.8</v>
      </c>
      <c r="G162" s="99">
        <v>355</v>
      </c>
      <c r="H162" s="99">
        <v>10.6</v>
      </c>
      <c r="I162" s="99">
        <v>5.5</v>
      </c>
      <c r="J162" s="99">
        <v>124</v>
      </c>
      <c r="K162" s="99">
        <v>6.5</v>
      </c>
      <c r="L162" s="171">
        <f t="shared" si="4"/>
        <v>3.55</v>
      </c>
    </row>
    <row r="163" spans="1:12">
      <c r="A163" s="99">
        <v>8</v>
      </c>
      <c r="B163" s="99">
        <v>93</v>
      </c>
      <c r="C163" s="99" t="s">
        <v>1614</v>
      </c>
      <c r="D163" s="99">
        <v>1.095</v>
      </c>
      <c r="E163" s="99">
        <v>252</v>
      </c>
      <c r="F163" s="99">
        <v>26.1</v>
      </c>
      <c r="G163" s="99">
        <v>405</v>
      </c>
      <c r="H163" s="99">
        <v>12.6</v>
      </c>
      <c r="I163" s="99">
        <v>4.62</v>
      </c>
      <c r="J163" s="99">
        <v>111</v>
      </c>
      <c r="K163" s="99">
        <v>5.68</v>
      </c>
      <c r="L163" s="171">
        <f t="shared" si="4"/>
        <v>4.05</v>
      </c>
    </row>
    <row r="164" spans="1:12">
      <c r="A164" s="99">
        <v>9</v>
      </c>
      <c r="B164" s="99">
        <v>106</v>
      </c>
      <c r="C164" s="99" t="s">
        <v>1612</v>
      </c>
      <c r="D164" s="99">
        <v>1.4690000000000001</v>
      </c>
      <c r="E164" s="99">
        <v>244</v>
      </c>
      <c r="F164" s="99">
        <v>30.5</v>
      </c>
      <c r="G164" s="99">
        <v>411</v>
      </c>
      <c r="H164" s="99">
        <v>12.2</v>
      </c>
      <c r="I164" s="99">
        <v>3.83</v>
      </c>
      <c r="J164" s="99">
        <v>76</v>
      </c>
      <c r="K164" s="99">
        <v>4.8</v>
      </c>
      <c r="L164" s="171">
        <f t="shared" si="4"/>
        <v>4.1100000000000003</v>
      </c>
    </row>
    <row r="165" spans="1:12">
      <c r="A165" s="99">
        <v>10</v>
      </c>
      <c r="B165" s="99">
        <v>168</v>
      </c>
      <c r="C165" s="99" t="s">
        <v>1615</v>
      </c>
      <c r="D165" s="99">
        <v>1.643</v>
      </c>
      <c r="E165" s="99">
        <v>357</v>
      </c>
      <c r="F165" s="99">
        <v>32.1</v>
      </c>
      <c r="G165" s="99">
        <v>481</v>
      </c>
      <c r="H165" s="99">
        <v>17.899999999999999</v>
      </c>
      <c r="I165" s="99">
        <v>4.5599999999999996</v>
      </c>
      <c r="J165" s="99">
        <v>118</v>
      </c>
      <c r="K165" s="99">
        <v>8.5299999999999994</v>
      </c>
      <c r="L165" s="171">
        <f t="shared" si="4"/>
        <v>4.8099999999999996</v>
      </c>
    </row>
  </sheetData>
  <mergeCells count="20">
    <mergeCell ref="M136:M138"/>
    <mergeCell ref="N136:N138"/>
    <mergeCell ref="O136:O138"/>
    <mergeCell ref="A154:C154"/>
    <mergeCell ref="D154:H154"/>
    <mergeCell ref="I154:K154"/>
    <mergeCell ref="I136:I138"/>
    <mergeCell ref="J136:J138"/>
    <mergeCell ref="K136:K138"/>
    <mergeCell ref="L136:L138"/>
    <mergeCell ref="H4:J4"/>
    <mergeCell ref="A135:A138"/>
    <mergeCell ref="B135:B138"/>
    <mergeCell ref="K135:L135"/>
    <mergeCell ref="C136:C138"/>
    <mergeCell ref="D136:D138"/>
    <mergeCell ref="E136:E138"/>
    <mergeCell ref="F136:F138"/>
    <mergeCell ref="G136:G138"/>
    <mergeCell ref="H136:H138"/>
  </mergeCells>
  <pageMargins left="0.78740157499999996" right="0.78740157499999996" top="0.984251969" bottom="0.984251969" header="0.4921259845" footer="0.492125984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U40"/>
  <sheetViews>
    <sheetView topLeftCell="B1" workbookViewId="0">
      <selection activeCell="D11" sqref="D11"/>
    </sheetView>
  </sheetViews>
  <sheetFormatPr baseColWidth="10" defaultRowHeight="12"/>
  <cols>
    <col min="1" max="1" width="6.5703125" style="97" customWidth="1"/>
    <col min="2" max="2" width="5.140625" style="97" customWidth="1"/>
    <col min="3" max="3" width="5.42578125" style="97" customWidth="1"/>
    <col min="4" max="4" width="5.85546875" style="97" customWidth="1"/>
    <col min="5" max="5" width="6.140625" style="97" customWidth="1"/>
    <col min="6" max="6" width="5.85546875" style="97" customWidth="1"/>
    <col min="7" max="7" width="6.140625" style="97" customWidth="1"/>
    <col min="8" max="8" width="6.42578125" style="97" customWidth="1"/>
    <col min="9" max="9" width="5" style="97" customWidth="1"/>
    <col min="10" max="10" width="6.85546875" style="97" customWidth="1"/>
    <col min="11" max="11" width="7.42578125" style="97" customWidth="1"/>
    <col min="12" max="12" width="5.42578125" style="97" customWidth="1"/>
    <col min="13" max="13" width="6.5703125" style="97" customWidth="1"/>
    <col min="14" max="14" width="5.140625" style="97" customWidth="1"/>
    <col min="15" max="15" width="6.140625" style="97" customWidth="1"/>
    <col min="16" max="16" width="4" style="97" customWidth="1"/>
    <col min="17" max="17" width="5" style="97" customWidth="1"/>
    <col min="18" max="16384" width="11.42578125" style="97"/>
  </cols>
  <sheetData>
    <row r="1" spans="1:21">
      <c r="A1" s="97" t="s">
        <v>1616</v>
      </c>
    </row>
    <row r="2" spans="1:21">
      <c r="A2" s="357" t="s">
        <v>1487</v>
      </c>
      <c r="B2" s="358"/>
      <c r="C2" s="359"/>
      <c r="D2" s="360" t="s">
        <v>1592</v>
      </c>
      <c r="E2" s="361"/>
      <c r="F2" s="361"/>
      <c r="G2" s="361"/>
      <c r="H2" s="362"/>
      <c r="I2" s="360" t="s">
        <v>1593</v>
      </c>
      <c r="J2" s="361"/>
      <c r="K2" s="362"/>
      <c r="L2" s="360" t="s">
        <v>1594</v>
      </c>
      <c r="M2" s="361"/>
      <c r="N2" s="361"/>
      <c r="O2" s="361"/>
      <c r="P2" s="361"/>
      <c r="Q2" s="362"/>
    </row>
    <row r="3" spans="1:21" ht="36">
      <c r="A3" s="98" t="s">
        <v>1595</v>
      </c>
      <c r="B3" s="98" t="s">
        <v>1596</v>
      </c>
      <c r="C3" s="99" t="s">
        <v>1597</v>
      </c>
      <c r="D3" s="98" t="s">
        <v>1598</v>
      </c>
      <c r="E3" s="98" t="s">
        <v>1599</v>
      </c>
      <c r="F3" s="98" t="s">
        <v>1600</v>
      </c>
      <c r="G3" s="98" t="s">
        <v>1601</v>
      </c>
      <c r="H3" s="98" t="s">
        <v>1599</v>
      </c>
      <c r="I3" s="98" t="s">
        <v>1600</v>
      </c>
      <c r="J3" s="98" t="s">
        <v>1601</v>
      </c>
      <c r="K3" s="98" t="s">
        <v>1599</v>
      </c>
      <c r="L3" s="98" t="s">
        <v>1602</v>
      </c>
      <c r="M3" s="98" t="s">
        <v>1603</v>
      </c>
      <c r="N3" s="98" t="s">
        <v>1604</v>
      </c>
      <c r="O3" s="98" t="s">
        <v>1605</v>
      </c>
      <c r="P3" s="98" t="s">
        <v>1527</v>
      </c>
      <c r="Q3" s="99" t="s">
        <v>1606</v>
      </c>
      <c r="R3" s="97" t="s">
        <v>1534</v>
      </c>
    </row>
    <row r="4" spans="1:21">
      <c r="A4" s="99">
        <v>1</v>
      </c>
      <c r="B4" s="99">
        <v>27</v>
      </c>
      <c r="C4" s="99" t="s">
        <v>1607</v>
      </c>
      <c r="D4" s="99">
        <v>0.18</v>
      </c>
      <c r="E4" s="99">
        <v>95</v>
      </c>
      <c r="F4" s="99">
        <v>10.4</v>
      </c>
      <c r="G4" s="99">
        <v>251</v>
      </c>
      <c r="H4" s="99">
        <v>4.8</v>
      </c>
      <c r="I4" s="99">
        <v>2.98</v>
      </c>
      <c r="J4" s="99">
        <v>70</v>
      </c>
      <c r="K4" s="99">
        <v>2.91</v>
      </c>
      <c r="L4" s="99">
        <v>29.8</v>
      </c>
      <c r="M4" s="99">
        <v>27.6</v>
      </c>
      <c r="N4" s="99">
        <v>62.3</v>
      </c>
      <c r="O4" s="99">
        <v>23.7</v>
      </c>
      <c r="P4" s="99">
        <v>2.9</v>
      </c>
      <c r="Q4" s="99">
        <v>12.4</v>
      </c>
      <c r="R4" s="97">
        <f>G4/2/10</f>
        <v>12.55</v>
      </c>
      <c r="T4" s="97">
        <v>1</v>
      </c>
      <c r="U4" s="97">
        <f>76*T4^0.519</f>
        <v>76</v>
      </c>
    </row>
    <row r="5" spans="1:21">
      <c r="A5" s="99">
        <v>2</v>
      </c>
      <c r="B5" s="99">
        <v>31</v>
      </c>
      <c r="C5" s="99" t="s">
        <v>1608</v>
      </c>
      <c r="D5" s="99">
        <v>0.24199999999999999</v>
      </c>
      <c r="E5" s="99">
        <v>125</v>
      </c>
      <c r="F5" s="99">
        <v>12.1</v>
      </c>
      <c r="G5" s="99">
        <v>269</v>
      </c>
      <c r="H5" s="99">
        <v>6.3</v>
      </c>
      <c r="I5" s="99">
        <v>3.07</v>
      </c>
      <c r="J5" s="99">
        <v>71</v>
      </c>
      <c r="K5" s="99">
        <v>3.61</v>
      </c>
      <c r="L5" s="99">
        <v>25.4</v>
      </c>
      <c r="M5" s="99">
        <v>26.3</v>
      </c>
      <c r="N5" s="99">
        <v>57.3</v>
      </c>
      <c r="O5" s="99">
        <v>22.8</v>
      </c>
      <c r="P5" s="99">
        <v>5.0999999999999996</v>
      </c>
      <c r="Q5" s="99">
        <v>22.6</v>
      </c>
      <c r="R5" s="97">
        <f t="shared" ref="R5:R13" si="0">G5/2/10</f>
        <v>13.45</v>
      </c>
      <c r="T5" s="97">
        <f>T4+1</f>
        <v>2</v>
      </c>
      <c r="U5" s="97">
        <f t="shared" ref="U5:U40" si="1">76*T5^0.519</f>
        <v>108.90508542835558</v>
      </c>
    </row>
    <row r="6" spans="1:21">
      <c r="A6" s="99">
        <v>3</v>
      </c>
      <c r="B6" s="99">
        <v>41</v>
      </c>
      <c r="C6" s="99" t="s">
        <v>1609</v>
      </c>
      <c r="D6" s="99">
        <v>0.34699999999999998</v>
      </c>
      <c r="E6" s="99">
        <v>149</v>
      </c>
      <c r="F6" s="99">
        <v>14.5</v>
      </c>
      <c r="G6" s="99">
        <v>328</v>
      </c>
      <c r="H6" s="99">
        <v>7.5</v>
      </c>
      <c r="I6" s="99">
        <v>3.69</v>
      </c>
      <c r="J6" s="99">
        <v>87</v>
      </c>
      <c r="K6" s="99">
        <v>4.42</v>
      </c>
      <c r="L6" s="99">
        <v>25.5</v>
      </c>
      <c r="M6" s="99">
        <v>26.7</v>
      </c>
      <c r="N6" s="99">
        <v>54.9</v>
      </c>
      <c r="O6" s="99">
        <v>21.7</v>
      </c>
      <c r="P6" s="99">
        <v>2.7</v>
      </c>
      <c r="Q6" s="99">
        <v>12.3</v>
      </c>
      <c r="R6" s="97">
        <f t="shared" si="0"/>
        <v>16.399999999999999</v>
      </c>
      <c r="T6" s="97">
        <f t="shared" ref="T6:T40" si="2">T5+1</f>
        <v>3</v>
      </c>
      <c r="U6" s="97">
        <f t="shared" si="1"/>
        <v>134.4124581155171</v>
      </c>
    </row>
    <row r="7" spans="1:21">
      <c r="A7" s="99">
        <v>4</v>
      </c>
      <c r="B7" s="99">
        <v>54</v>
      </c>
      <c r="C7" s="99" t="s">
        <v>1610</v>
      </c>
      <c r="D7" s="99">
        <v>0.56200000000000006</v>
      </c>
      <c r="E7" s="99">
        <v>163</v>
      </c>
      <c r="F7" s="99">
        <v>18.7</v>
      </c>
      <c r="G7" s="99">
        <v>328</v>
      </c>
      <c r="H7" s="99">
        <v>8.1999999999999993</v>
      </c>
      <c r="I7" s="99">
        <v>4.0999999999999996</v>
      </c>
      <c r="J7" s="99">
        <v>94</v>
      </c>
      <c r="K7" s="99">
        <v>4.33</v>
      </c>
      <c r="L7" s="99">
        <v>21.9</v>
      </c>
      <c r="M7" s="99">
        <v>28.7</v>
      </c>
      <c r="N7" s="99">
        <v>52.8</v>
      </c>
      <c r="O7" s="99">
        <v>17.2</v>
      </c>
      <c r="P7" s="99">
        <v>2.5</v>
      </c>
      <c r="Q7" s="99">
        <v>14.3</v>
      </c>
      <c r="R7" s="97">
        <f t="shared" si="0"/>
        <v>16.399999999999999</v>
      </c>
      <c r="T7" s="97">
        <f t="shared" si="2"/>
        <v>4</v>
      </c>
      <c r="U7" s="97">
        <f t="shared" si="1"/>
        <v>156.05681094943984</v>
      </c>
    </row>
    <row r="8" spans="1:21">
      <c r="A8" s="99">
        <v>5</v>
      </c>
      <c r="B8" s="99">
        <v>72</v>
      </c>
      <c r="C8" s="99" t="s">
        <v>1611</v>
      </c>
      <c r="D8" s="99">
        <v>0.82699999999999996</v>
      </c>
      <c r="E8" s="99">
        <v>286</v>
      </c>
      <c r="F8" s="99">
        <v>22.6</v>
      </c>
      <c r="G8" s="99">
        <v>451</v>
      </c>
      <c r="H8" s="99">
        <v>14.3</v>
      </c>
      <c r="I8" s="99">
        <v>4.67</v>
      </c>
      <c r="J8" s="99">
        <v>120</v>
      </c>
      <c r="K8" s="99">
        <v>6.47</v>
      </c>
      <c r="L8" s="99">
        <v>20.7</v>
      </c>
      <c r="M8" s="99">
        <v>26.6</v>
      </c>
      <c r="N8" s="99">
        <v>45.2</v>
      </c>
      <c r="O8" s="99">
        <v>20.3</v>
      </c>
      <c r="P8" s="99">
        <v>3.2</v>
      </c>
      <c r="Q8" s="99">
        <v>15.8</v>
      </c>
      <c r="R8" s="97">
        <f t="shared" si="0"/>
        <v>22.55</v>
      </c>
      <c r="T8" s="97">
        <f t="shared" si="2"/>
        <v>5</v>
      </c>
      <c r="U8" s="97">
        <f t="shared" si="1"/>
        <v>175.21812333400922</v>
      </c>
    </row>
    <row r="9" spans="1:21">
      <c r="A9" s="99">
        <v>6</v>
      </c>
      <c r="B9" s="99">
        <v>77</v>
      </c>
      <c r="C9" s="99" t="s">
        <v>1612</v>
      </c>
      <c r="D9" s="99">
        <v>1.121</v>
      </c>
      <c r="E9" s="99">
        <v>265</v>
      </c>
      <c r="F9" s="99">
        <v>26.1</v>
      </c>
      <c r="G9" s="99">
        <v>402</v>
      </c>
      <c r="H9" s="99">
        <v>13.3</v>
      </c>
      <c r="I9" s="99">
        <v>6.06</v>
      </c>
      <c r="J9" s="99">
        <v>117</v>
      </c>
      <c r="K9" s="99">
        <v>7.59</v>
      </c>
      <c r="L9" s="99">
        <v>23.2</v>
      </c>
      <c r="M9" s="99">
        <v>19.2</v>
      </c>
      <c r="N9" s="99">
        <v>57.1</v>
      </c>
      <c r="O9" s="99">
        <v>15.3</v>
      </c>
      <c r="P9" s="99">
        <v>1.5</v>
      </c>
      <c r="Q9" s="99">
        <v>9.9</v>
      </c>
      <c r="R9" s="97">
        <f t="shared" si="0"/>
        <v>20.100000000000001</v>
      </c>
      <c r="T9" s="97">
        <f t="shared" si="2"/>
        <v>6</v>
      </c>
      <c r="U9" s="97">
        <f t="shared" si="1"/>
        <v>192.60789781191653</v>
      </c>
    </row>
    <row r="10" spans="1:21">
      <c r="A10" s="99">
        <v>7</v>
      </c>
      <c r="B10" s="99">
        <v>85</v>
      </c>
      <c r="C10" s="99" t="s">
        <v>1613</v>
      </c>
      <c r="D10" s="99">
        <v>0.60299999999999998</v>
      </c>
      <c r="E10" s="99">
        <v>212</v>
      </c>
      <c r="F10" s="99">
        <v>18.8</v>
      </c>
      <c r="G10" s="99">
        <v>355</v>
      </c>
      <c r="H10" s="99">
        <v>10.6</v>
      </c>
      <c r="I10" s="99">
        <v>5.5</v>
      </c>
      <c r="J10" s="99">
        <v>124</v>
      </c>
      <c r="K10" s="99">
        <v>6.5</v>
      </c>
      <c r="L10" s="99">
        <v>29.3</v>
      </c>
      <c r="M10" s="99">
        <v>35.200000000000003</v>
      </c>
      <c r="N10" s="99">
        <v>61.3</v>
      </c>
      <c r="O10" s="99">
        <v>18.7</v>
      </c>
      <c r="P10" s="99">
        <v>3.6</v>
      </c>
      <c r="Q10" s="99">
        <v>19.5</v>
      </c>
      <c r="R10" s="97">
        <f t="shared" si="0"/>
        <v>17.75</v>
      </c>
      <c r="T10" s="97">
        <f t="shared" si="2"/>
        <v>7</v>
      </c>
      <c r="U10" s="97">
        <f t="shared" si="1"/>
        <v>208.65052175261107</v>
      </c>
    </row>
    <row r="11" spans="1:21">
      <c r="A11" s="99">
        <v>8</v>
      </c>
      <c r="B11" s="99">
        <v>93</v>
      </c>
      <c r="C11" s="99" t="s">
        <v>1614</v>
      </c>
      <c r="D11" s="99">
        <v>1.095</v>
      </c>
      <c r="E11" s="99">
        <v>252</v>
      </c>
      <c r="F11" s="99">
        <v>26.1</v>
      </c>
      <c r="G11" s="99">
        <v>405</v>
      </c>
      <c r="H11" s="99">
        <v>12.6</v>
      </c>
      <c r="I11" s="99">
        <v>4.62</v>
      </c>
      <c r="J11" s="99">
        <v>111</v>
      </c>
      <c r="K11" s="99">
        <v>5.68</v>
      </c>
      <c r="L11" s="99">
        <v>17.7</v>
      </c>
      <c r="M11" s="99">
        <v>27.4</v>
      </c>
      <c r="N11" s="99">
        <v>45.1</v>
      </c>
      <c r="O11" s="99">
        <v>15.3</v>
      </c>
      <c r="P11" s="99">
        <v>2.5</v>
      </c>
      <c r="Q11" s="99">
        <v>16.100000000000001</v>
      </c>
      <c r="R11" s="97">
        <f t="shared" si="0"/>
        <v>20.25</v>
      </c>
      <c r="T11" s="97">
        <f t="shared" si="2"/>
        <v>8</v>
      </c>
      <c r="U11" s="97">
        <f t="shared" si="1"/>
        <v>223.62342537007214</v>
      </c>
    </row>
    <row r="12" spans="1:21">
      <c r="A12" s="99">
        <v>9</v>
      </c>
      <c r="B12" s="99">
        <v>106</v>
      </c>
      <c r="C12" s="99" t="s">
        <v>1612</v>
      </c>
      <c r="D12" s="99">
        <v>1.4690000000000001</v>
      </c>
      <c r="E12" s="99">
        <v>244</v>
      </c>
      <c r="F12" s="99">
        <v>30.5</v>
      </c>
      <c r="G12" s="99">
        <v>411</v>
      </c>
      <c r="H12" s="99">
        <v>12.2</v>
      </c>
      <c r="I12" s="99">
        <v>3.83</v>
      </c>
      <c r="J12" s="99">
        <v>76</v>
      </c>
      <c r="K12" s="99">
        <v>4.8</v>
      </c>
      <c r="L12" s="99">
        <v>12.5</v>
      </c>
      <c r="M12" s="99">
        <v>18.5</v>
      </c>
      <c r="N12" s="99">
        <v>35.5</v>
      </c>
      <c r="O12" s="99">
        <v>13.4</v>
      </c>
      <c r="P12" s="99">
        <v>2</v>
      </c>
      <c r="Q12" s="99">
        <v>14.9</v>
      </c>
      <c r="R12" s="97">
        <f t="shared" si="0"/>
        <v>20.55</v>
      </c>
      <c r="T12" s="97">
        <f t="shared" si="2"/>
        <v>9</v>
      </c>
      <c r="U12" s="97">
        <f t="shared" si="1"/>
        <v>237.71985390336363</v>
      </c>
    </row>
    <row r="13" spans="1:21">
      <c r="A13" s="99">
        <v>10</v>
      </c>
      <c r="B13" s="99">
        <v>168</v>
      </c>
      <c r="C13" s="99" t="s">
        <v>1615</v>
      </c>
      <c r="D13" s="99">
        <v>1.643</v>
      </c>
      <c r="E13" s="99">
        <v>357</v>
      </c>
      <c r="F13" s="99">
        <v>32.1</v>
      </c>
      <c r="G13" s="99">
        <v>481</v>
      </c>
      <c r="H13" s="99">
        <v>17.899999999999999</v>
      </c>
      <c r="I13" s="99">
        <v>4.5599999999999996</v>
      </c>
      <c r="J13" s="99">
        <v>118</v>
      </c>
      <c r="K13" s="99">
        <v>8.5299999999999994</v>
      </c>
      <c r="L13" s="99">
        <v>14.2</v>
      </c>
      <c r="M13" s="99">
        <v>24.5</v>
      </c>
      <c r="N13" s="99">
        <v>47.7</v>
      </c>
      <c r="O13" s="99">
        <v>15</v>
      </c>
      <c r="P13" s="99">
        <v>2.7</v>
      </c>
      <c r="Q13" s="99">
        <v>17.899999999999999</v>
      </c>
      <c r="R13" s="97">
        <f t="shared" si="0"/>
        <v>24.05</v>
      </c>
      <c r="T13" s="97">
        <f t="shared" si="2"/>
        <v>10</v>
      </c>
      <c r="U13" s="97">
        <f t="shared" si="1"/>
        <v>251.08085118797925</v>
      </c>
    </row>
    <row r="14" spans="1:21">
      <c r="A14" s="97" t="s">
        <v>1487</v>
      </c>
      <c r="T14" s="97">
        <f t="shared" si="2"/>
        <v>11</v>
      </c>
      <c r="U14" s="97">
        <f t="shared" si="1"/>
        <v>263.81312347566865</v>
      </c>
    </row>
    <row r="15" spans="1:21">
      <c r="T15" s="97">
        <f t="shared" si="2"/>
        <v>12</v>
      </c>
      <c r="U15" s="97">
        <f t="shared" si="1"/>
        <v>275.99973112345731</v>
      </c>
    </row>
    <row r="16" spans="1:21">
      <c r="T16" s="97">
        <f t="shared" si="2"/>
        <v>13</v>
      </c>
      <c r="U16" s="97">
        <f t="shared" si="1"/>
        <v>287.70684338590706</v>
      </c>
    </row>
    <row r="17" spans="20:21">
      <c r="T17" s="97">
        <f t="shared" si="2"/>
        <v>14</v>
      </c>
      <c r="U17" s="97">
        <f t="shared" si="1"/>
        <v>298.98819600182998</v>
      </c>
    </row>
    <row r="18" spans="20:21">
      <c r="T18" s="97">
        <f t="shared" si="2"/>
        <v>15</v>
      </c>
      <c r="U18" s="97">
        <f t="shared" si="1"/>
        <v>309.88814031200036</v>
      </c>
    </row>
    <row r="19" spans="20:21">
      <c r="T19" s="97">
        <f t="shared" si="2"/>
        <v>16</v>
      </c>
      <c r="U19" s="97">
        <f t="shared" si="1"/>
        <v>320.44379268038432</v>
      </c>
    </row>
    <row r="20" spans="20:21">
      <c r="T20" s="97">
        <f t="shared" si="2"/>
        <v>17</v>
      </c>
      <c r="U20" s="97">
        <f t="shared" si="1"/>
        <v>330.6865890190827</v>
      </c>
    </row>
    <row r="21" spans="20:21">
      <c r="T21" s="97">
        <f t="shared" si="2"/>
        <v>18</v>
      </c>
      <c r="U21" s="97">
        <f t="shared" si="1"/>
        <v>340.64343417581608</v>
      </c>
    </row>
    <row r="22" spans="20:21">
      <c r="T22" s="97">
        <f t="shared" si="2"/>
        <v>19</v>
      </c>
      <c r="U22" s="97">
        <f t="shared" si="1"/>
        <v>350.33756828105675</v>
      </c>
    </row>
    <row r="23" spans="20:21">
      <c r="T23" s="97">
        <f t="shared" si="2"/>
        <v>20</v>
      </c>
      <c r="U23" s="97">
        <f t="shared" si="1"/>
        <v>359.78923089540945</v>
      </c>
    </row>
    <row r="24" spans="20:21">
      <c r="T24" s="97">
        <f t="shared" si="2"/>
        <v>21</v>
      </c>
      <c r="U24" s="97">
        <f t="shared" si="1"/>
        <v>369.0161778401793</v>
      </c>
    </row>
    <row r="25" spans="20:21">
      <c r="T25" s="97">
        <f t="shared" si="2"/>
        <v>22</v>
      </c>
      <c r="U25" s="97">
        <f t="shared" si="1"/>
        <v>378.03408880577655</v>
      </c>
    </row>
    <row r="26" spans="20:21">
      <c r="T26" s="97">
        <f t="shared" si="2"/>
        <v>23</v>
      </c>
      <c r="U26" s="97">
        <f t="shared" si="1"/>
        <v>386.85689270638437</v>
      </c>
    </row>
    <row r="27" spans="20:21">
      <c r="T27" s="97">
        <f t="shared" si="2"/>
        <v>24</v>
      </c>
      <c r="U27" s="97">
        <f t="shared" si="1"/>
        <v>395.49703021320119</v>
      </c>
    </row>
    <row r="28" spans="20:21">
      <c r="T28" s="97">
        <f t="shared" si="2"/>
        <v>25</v>
      </c>
      <c r="U28" s="97">
        <f t="shared" si="1"/>
        <v>403.96566769331673</v>
      </c>
    </row>
    <row r="29" spans="20:21">
      <c r="T29" s="97">
        <f t="shared" si="2"/>
        <v>26</v>
      </c>
      <c r="U29" s="97">
        <f t="shared" si="1"/>
        <v>412.27287312190441</v>
      </c>
    </row>
    <row r="30" spans="20:21">
      <c r="T30" s="97">
        <f t="shared" si="2"/>
        <v>27</v>
      </c>
      <c r="U30" s="97">
        <f t="shared" si="1"/>
        <v>420.42776192121988</v>
      </c>
    </row>
    <row r="31" spans="20:21">
      <c r="T31" s="97">
        <f t="shared" si="2"/>
        <v>28</v>
      </c>
      <c r="U31" s="97">
        <f t="shared" si="1"/>
        <v>428.43861878485814</v>
      </c>
    </row>
    <row r="32" spans="20:21">
      <c r="T32" s="97">
        <f t="shared" si="2"/>
        <v>29</v>
      </c>
      <c r="U32" s="97">
        <f t="shared" si="1"/>
        <v>436.31300015346056</v>
      </c>
    </row>
    <row r="33" spans="20:21">
      <c r="T33" s="97">
        <f t="shared" si="2"/>
        <v>30</v>
      </c>
      <c r="U33" s="97">
        <f t="shared" si="1"/>
        <v>444.05782097253478</v>
      </c>
    </row>
    <row r="34" spans="20:21">
      <c r="T34" s="97">
        <f t="shared" si="2"/>
        <v>31</v>
      </c>
      <c r="U34" s="97">
        <f t="shared" si="1"/>
        <v>451.67942858403279</v>
      </c>
    </row>
    <row r="35" spans="20:21">
      <c r="T35" s="97">
        <f t="shared" si="2"/>
        <v>32</v>
      </c>
      <c r="U35" s="97">
        <f t="shared" si="1"/>
        <v>459.18366601109898</v>
      </c>
    </row>
    <row r="36" spans="20:21">
      <c r="T36" s="97">
        <f t="shared" si="2"/>
        <v>33</v>
      </c>
      <c r="U36" s="97">
        <f t="shared" si="1"/>
        <v>466.57592644075066</v>
      </c>
    </row>
    <row r="37" spans="20:21">
      <c r="T37" s="97">
        <f t="shared" si="2"/>
        <v>34</v>
      </c>
      <c r="U37" s="97">
        <f t="shared" si="1"/>
        <v>473.86120035703573</v>
      </c>
    </row>
    <row r="38" spans="20:21">
      <c r="T38" s="97">
        <f t="shared" si="2"/>
        <v>35</v>
      </c>
      <c r="U38" s="97">
        <f t="shared" si="1"/>
        <v>481.04411650203144</v>
      </c>
    </row>
    <row r="39" spans="20:21">
      <c r="T39" s="97">
        <f t="shared" si="2"/>
        <v>36</v>
      </c>
      <c r="U39" s="97">
        <f t="shared" si="1"/>
        <v>488.12897762533782</v>
      </c>
    </row>
    <row r="40" spans="20:21">
      <c r="T40" s="97">
        <f t="shared" si="2"/>
        <v>37</v>
      </c>
      <c r="U40" s="97">
        <f t="shared" si="1"/>
        <v>495.11979181078681</v>
      </c>
    </row>
  </sheetData>
  <mergeCells count="4">
    <mergeCell ref="A2:C2"/>
    <mergeCell ref="D2:H2"/>
    <mergeCell ref="I2:K2"/>
    <mergeCell ref="L2:Q2"/>
  </mergeCell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2:I18"/>
  <sheetViews>
    <sheetView zoomScale="75" workbookViewId="0">
      <selection activeCell="D11" sqref="D11"/>
    </sheetView>
  </sheetViews>
  <sheetFormatPr baseColWidth="10" defaultRowHeight="12.75"/>
  <cols>
    <col min="1" max="16384" width="11.42578125" style="136"/>
  </cols>
  <sheetData>
    <row r="2" spans="1:9">
      <c r="A2" s="141" t="s">
        <v>236</v>
      </c>
    </row>
    <row r="3" spans="1:9" ht="38.25">
      <c r="A3" s="140" t="s">
        <v>1467</v>
      </c>
      <c r="B3" s="140" t="s">
        <v>145</v>
      </c>
      <c r="C3" s="142" t="s">
        <v>237</v>
      </c>
      <c r="D3" s="142" t="s">
        <v>238</v>
      </c>
      <c r="E3" s="142" t="s">
        <v>239</v>
      </c>
      <c r="F3" s="142" t="s">
        <v>50</v>
      </c>
      <c r="G3" s="142" t="s">
        <v>240</v>
      </c>
      <c r="H3" s="142" t="s">
        <v>166</v>
      </c>
      <c r="I3" s="142" t="s">
        <v>148</v>
      </c>
    </row>
    <row r="4" spans="1:9">
      <c r="A4" s="136">
        <v>1</v>
      </c>
      <c r="B4" s="140" t="s">
        <v>55</v>
      </c>
      <c r="C4" s="136">
        <v>108</v>
      </c>
      <c r="D4" s="136">
        <v>155</v>
      </c>
      <c r="E4" s="136">
        <v>1</v>
      </c>
      <c r="F4" s="136">
        <v>30</v>
      </c>
      <c r="G4" s="136">
        <v>56.3</v>
      </c>
      <c r="H4" s="136">
        <v>11</v>
      </c>
      <c r="I4" s="147"/>
    </row>
    <row r="5" spans="1:9">
      <c r="A5" s="136">
        <v>2</v>
      </c>
      <c r="B5" s="140" t="s">
        <v>55</v>
      </c>
      <c r="C5" s="136">
        <v>74</v>
      </c>
      <c r="D5" s="136">
        <v>170</v>
      </c>
      <c r="E5" s="136">
        <v>1</v>
      </c>
      <c r="F5" s="136">
        <v>28</v>
      </c>
      <c r="G5" s="140">
        <v>62.8</v>
      </c>
      <c r="H5" s="136">
        <v>11</v>
      </c>
      <c r="I5" s="147"/>
    </row>
    <row r="6" spans="1:9">
      <c r="A6" s="136">
        <v>3</v>
      </c>
      <c r="B6" s="140" t="s">
        <v>55</v>
      </c>
      <c r="C6" s="136">
        <v>74</v>
      </c>
      <c r="D6" s="136">
        <v>170</v>
      </c>
      <c r="E6" s="136">
        <v>1</v>
      </c>
      <c r="F6" s="136">
        <v>28</v>
      </c>
      <c r="G6" s="136">
        <v>54</v>
      </c>
      <c r="H6" s="136">
        <v>8</v>
      </c>
      <c r="I6" s="147"/>
    </row>
    <row r="7" spans="1:9">
      <c r="A7" s="136">
        <v>4</v>
      </c>
      <c r="B7" s="140" t="s">
        <v>55</v>
      </c>
      <c r="C7" s="136">
        <v>74</v>
      </c>
      <c r="D7" s="136">
        <v>170</v>
      </c>
      <c r="E7" s="136">
        <v>2</v>
      </c>
      <c r="F7" s="136">
        <v>28</v>
      </c>
      <c r="G7" s="136">
        <v>48.5</v>
      </c>
      <c r="H7" s="136">
        <v>9</v>
      </c>
      <c r="I7" s="147"/>
    </row>
    <row r="8" spans="1:9">
      <c r="A8" s="136">
        <v>5</v>
      </c>
      <c r="B8" s="140" t="s">
        <v>55</v>
      </c>
      <c r="C8" s="136">
        <v>74</v>
      </c>
      <c r="D8" s="136">
        <v>170</v>
      </c>
      <c r="E8" s="136">
        <v>2</v>
      </c>
      <c r="F8" s="136">
        <v>28</v>
      </c>
      <c r="G8" s="136">
        <v>53.8</v>
      </c>
      <c r="H8" s="136">
        <v>9</v>
      </c>
    </row>
    <row r="9" spans="1:9">
      <c r="A9" s="136">
        <v>6</v>
      </c>
      <c r="B9" s="140" t="s">
        <v>55</v>
      </c>
      <c r="C9" s="136">
        <v>108</v>
      </c>
      <c r="D9" s="136">
        <v>155</v>
      </c>
      <c r="E9" s="136">
        <v>2</v>
      </c>
      <c r="F9" s="136">
        <v>29</v>
      </c>
      <c r="G9" s="136">
        <v>48.5</v>
      </c>
      <c r="H9" s="136">
        <v>6</v>
      </c>
    </row>
    <row r="10" spans="1:9">
      <c r="A10" s="136">
        <v>7</v>
      </c>
      <c r="B10" s="140" t="s">
        <v>55</v>
      </c>
      <c r="C10" s="136">
        <v>74</v>
      </c>
      <c r="D10" s="136">
        <v>170</v>
      </c>
      <c r="E10" s="136">
        <v>3</v>
      </c>
      <c r="F10" s="136">
        <v>28</v>
      </c>
      <c r="G10" s="136">
        <v>47.6</v>
      </c>
      <c r="H10" s="136">
        <v>8</v>
      </c>
    </row>
    <row r="11" spans="1:9">
      <c r="A11" s="136">
        <v>9</v>
      </c>
      <c r="B11" s="140" t="s">
        <v>55</v>
      </c>
      <c r="C11" s="136">
        <v>108</v>
      </c>
      <c r="D11" s="136">
        <v>155</v>
      </c>
      <c r="E11" s="136">
        <v>4</v>
      </c>
      <c r="F11" s="136">
        <v>27</v>
      </c>
      <c r="G11" s="136">
        <v>44.7</v>
      </c>
      <c r="H11" s="136">
        <v>6</v>
      </c>
    </row>
    <row r="12" spans="1:9">
      <c r="A12" s="136">
        <v>10</v>
      </c>
      <c r="B12" s="140" t="s">
        <v>55</v>
      </c>
      <c r="C12" s="136">
        <v>108</v>
      </c>
      <c r="D12" s="136">
        <v>155</v>
      </c>
      <c r="E12" s="136">
        <v>4</v>
      </c>
      <c r="F12" s="136">
        <v>26</v>
      </c>
      <c r="G12" s="136">
        <v>37.299999999999997</v>
      </c>
      <c r="H12" s="136">
        <v>4</v>
      </c>
    </row>
    <row r="13" spans="1:9">
      <c r="A13" s="136">
        <v>11</v>
      </c>
      <c r="B13" s="140" t="s">
        <v>55</v>
      </c>
      <c r="C13" s="136">
        <v>108</v>
      </c>
      <c r="D13" s="136">
        <v>155</v>
      </c>
      <c r="E13" s="136">
        <v>4</v>
      </c>
      <c r="F13" s="136">
        <v>27</v>
      </c>
      <c r="G13" s="136">
        <v>38</v>
      </c>
      <c r="H13" s="136">
        <v>3</v>
      </c>
    </row>
    <row r="14" spans="1:9">
      <c r="A14" s="136">
        <v>8</v>
      </c>
      <c r="B14" s="140" t="s">
        <v>55</v>
      </c>
      <c r="C14" s="140" t="s">
        <v>125</v>
      </c>
      <c r="D14" s="140" t="s">
        <v>125</v>
      </c>
      <c r="E14" s="136">
        <v>3</v>
      </c>
      <c r="F14" s="136">
        <v>28</v>
      </c>
      <c r="G14" s="140" t="s">
        <v>125</v>
      </c>
      <c r="H14" s="136">
        <v>4</v>
      </c>
    </row>
    <row r="15" spans="1:9">
      <c r="A15" s="140" t="s">
        <v>241</v>
      </c>
    </row>
    <row r="17" spans="1:1">
      <c r="A17" s="140" t="s">
        <v>142</v>
      </c>
    </row>
    <row r="18" spans="1:1">
      <c r="A18" s="140" t="s">
        <v>242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7"/>
  <sheetViews>
    <sheetView zoomScale="75" workbookViewId="0">
      <selection activeCell="I298" sqref="I298"/>
    </sheetView>
  </sheetViews>
  <sheetFormatPr baseColWidth="10" defaultRowHeight="12.75"/>
  <cols>
    <col min="1" max="1" width="8.5703125" customWidth="1"/>
    <col min="3" max="3" width="12" bestFit="1" customWidth="1"/>
    <col min="9" max="9" width="9.140625" bestFit="1" customWidth="1"/>
    <col min="11" max="11" width="25" customWidth="1"/>
    <col min="12" max="12" width="22.85546875" customWidth="1"/>
  </cols>
  <sheetData>
    <row r="1" spans="1:12">
      <c r="A1" s="173" t="s">
        <v>303</v>
      </c>
      <c r="B1" s="173"/>
      <c r="D1" s="130"/>
      <c r="K1" s="272"/>
      <c r="L1" s="272" t="s">
        <v>304</v>
      </c>
    </row>
    <row r="2" spans="1:12" ht="25.5">
      <c r="A2" s="273" t="s">
        <v>305</v>
      </c>
      <c r="B2" s="273" t="s">
        <v>306</v>
      </c>
      <c r="C2" s="273" t="s">
        <v>145</v>
      </c>
      <c r="D2" s="274" t="s">
        <v>307</v>
      </c>
      <c r="E2" s="273" t="s">
        <v>308</v>
      </c>
      <c r="F2" s="273" t="s">
        <v>50</v>
      </c>
      <c r="G2" s="273" t="s">
        <v>309</v>
      </c>
      <c r="H2" s="273" t="s">
        <v>265</v>
      </c>
      <c r="I2" s="273" t="s">
        <v>770</v>
      </c>
      <c r="J2" s="273" t="s">
        <v>240</v>
      </c>
      <c r="K2" s="273" t="s">
        <v>310</v>
      </c>
      <c r="L2" s="273" t="s">
        <v>311</v>
      </c>
    </row>
    <row r="3" spans="1:12">
      <c r="A3" s="273"/>
      <c r="B3" s="273"/>
      <c r="C3" s="272" t="s">
        <v>883</v>
      </c>
      <c r="D3" s="274"/>
      <c r="E3" s="273"/>
      <c r="F3" s="273"/>
      <c r="G3" s="273"/>
      <c r="H3" s="273"/>
      <c r="I3" s="273"/>
      <c r="J3" s="273"/>
      <c r="K3" s="273"/>
      <c r="L3" s="273"/>
    </row>
    <row r="4" spans="1:12">
      <c r="A4">
        <v>107</v>
      </c>
      <c r="B4" t="s">
        <v>312</v>
      </c>
      <c r="C4" t="s">
        <v>883</v>
      </c>
      <c r="D4" s="130" t="s">
        <v>313</v>
      </c>
      <c r="E4">
        <v>175</v>
      </c>
      <c r="F4">
        <v>28</v>
      </c>
      <c r="G4">
        <v>300</v>
      </c>
      <c r="H4">
        <v>20</v>
      </c>
      <c r="I4">
        <f t="shared" ref="I4:I39" si="0">H4/2</f>
        <v>10</v>
      </c>
      <c r="J4" s="96">
        <f t="shared" ref="J4:J39" si="1">G4/PI()</f>
        <v>95.4929658551372</v>
      </c>
      <c r="K4" t="s">
        <v>314</v>
      </c>
      <c r="L4" t="s">
        <v>315</v>
      </c>
    </row>
    <row r="5" spans="1:12">
      <c r="A5">
        <v>107</v>
      </c>
      <c r="B5" t="s">
        <v>312</v>
      </c>
      <c r="C5" t="s">
        <v>883</v>
      </c>
      <c r="D5" s="130" t="s">
        <v>313</v>
      </c>
      <c r="E5">
        <v>175</v>
      </c>
      <c r="F5">
        <v>28</v>
      </c>
      <c r="G5">
        <v>200</v>
      </c>
      <c r="H5">
        <v>20</v>
      </c>
      <c r="I5">
        <f t="shared" si="0"/>
        <v>10</v>
      </c>
      <c r="J5" s="96">
        <f t="shared" si="1"/>
        <v>63.661977236758133</v>
      </c>
      <c r="K5" t="s">
        <v>314</v>
      </c>
      <c r="L5" t="s">
        <v>315</v>
      </c>
    </row>
    <row r="6" spans="1:12">
      <c r="A6">
        <v>147</v>
      </c>
      <c r="B6" t="s">
        <v>316</v>
      </c>
      <c r="C6" t="s">
        <v>883</v>
      </c>
      <c r="D6" s="130" t="s">
        <v>313</v>
      </c>
      <c r="E6">
        <v>175</v>
      </c>
      <c r="F6">
        <v>27</v>
      </c>
      <c r="G6">
        <v>425</v>
      </c>
      <c r="H6">
        <v>28</v>
      </c>
      <c r="I6">
        <f t="shared" si="0"/>
        <v>14</v>
      </c>
      <c r="J6" s="96">
        <f t="shared" si="1"/>
        <v>135.28170162811105</v>
      </c>
      <c r="K6" t="s">
        <v>317</v>
      </c>
      <c r="L6" t="s">
        <v>315</v>
      </c>
    </row>
    <row r="7" spans="1:12">
      <c r="A7">
        <v>123</v>
      </c>
      <c r="B7" t="s">
        <v>318</v>
      </c>
      <c r="C7" t="s">
        <v>883</v>
      </c>
      <c r="D7" s="130">
        <v>200</v>
      </c>
      <c r="E7">
        <v>200</v>
      </c>
      <c r="F7">
        <v>23</v>
      </c>
      <c r="G7">
        <v>350</v>
      </c>
      <c r="H7">
        <v>26</v>
      </c>
      <c r="I7">
        <f t="shared" si="0"/>
        <v>13</v>
      </c>
      <c r="J7" s="96">
        <f t="shared" si="1"/>
        <v>111.40846016432674</v>
      </c>
      <c r="K7" t="s">
        <v>319</v>
      </c>
      <c r="L7" t="s">
        <v>315</v>
      </c>
    </row>
    <row r="8" spans="1:12">
      <c r="A8">
        <v>129</v>
      </c>
      <c r="B8" t="s">
        <v>320</v>
      </c>
      <c r="C8" t="s">
        <v>883</v>
      </c>
      <c r="D8" s="130">
        <v>200</v>
      </c>
      <c r="E8">
        <v>200</v>
      </c>
      <c r="F8">
        <v>35</v>
      </c>
      <c r="G8">
        <v>370</v>
      </c>
      <c r="H8">
        <v>30</v>
      </c>
      <c r="I8">
        <f t="shared" si="0"/>
        <v>15</v>
      </c>
      <c r="J8" s="96">
        <f t="shared" si="1"/>
        <v>117.77465788800255</v>
      </c>
      <c r="L8" t="s">
        <v>315</v>
      </c>
    </row>
    <row r="9" spans="1:12">
      <c r="A9">
        <v>4</v>
      </c>
      <c r="B9" t="s">
        <v>321</v>
      </c>
      <c r="C9" t="s">
        <v>883</v>
      </c>
      <c r="D9" s="130">
        <v>200</v>
      </c>
      <c r="E9" s="130">
        <v>200</v>
      </c>
      <c r="F9">
        <v>25</v>
      </c>
      <c r="G9">
        <v>480</v>
      </c>
      <c r="H9">
        <v>24</v>
      </c>
      <c r="I9">
        <f t="shared" si="0"/>
        <v>12</v>
      </c>
      <c r="J9" s="96">
        <f t="shared" si="1"/>
        <v>152.78874536821954</v>
      </c>
      <c r="K9" t="s">
        <v>319</v>
      </c>
      <c r="L9" t="s">
        <v>322</v>
      </c>
    </row>
    <row r="10" spans="1:12">
      <c r="A10">
        <v>106</v>
      </c>
      <c r="B10" t="s">
        <v>312</v>
      </c>
      <c r="C10" t="s">
        <v>883</v>
      </c>
      <c r="D10" s="130" t="s">
        <v>323</v>
      </c>
      <c r="E10">
        <v>225</v>
      </c>
      <c r="F10">
        <v>30</v>
      </c>
      <c r="G10">
        <v>360</v>
      </c>
      <c r="H10">
        <v>18</v>
      </c>
      <c r="I10">
        <f t="shared" si="0"/>
        <v>9</v>
      </c>
      <c r="J10" s="96">
        <f t="shared" si="1"/>
        <v>114.59155902616465</v>
      </c>
      <c r="L10" t="s">
        <v>315</v>
      </c>
    </row>
    <row r="11" spans="1:12">
      <c r="A11">
        <v>34</v>
      </c>
      <c r="B11" t="s">
        <v>324</v>
      </c>
      <c r="C11" t="s">
        <v>883</v>
      </c>
      <c r="D11" s="130" t="s">
        <v>323</v>
      </c>
      <c r="E11" s="130">
        <v>225</v>
      </c>
      <c r="F11">
        <v>23</v>
      </c>
      <c r="G11">
        <v>465</v>
      </c>
      <c r="H11">
        <v>30</v>
      </c>
      <c r="I11">
        <f t="shared" si="0"/>
        <v>15</v>
      </c>
      <c r="J11" s="96">
        <f t="shared" si="1"/>
        <v>148.01409707546267</v>
      </c>
      <c r="L11" t="s">
        <v>322</v>
      </c>
    </row>
    <row r="12" spans="1:12">
      <c r="A12">
        <v>36</v>
      </c>
      <c r="B12" t="s">
        <v>325</v>
      </c>
      <c r="C12" t="s">
        <v>883</v>
      </c>
      <c r="D12" s="130" t="s">
        <v>323</v>
      </c>
      <c r="E12" s="130">
        <v>225</v>
      </c>
      <c r="F12">
        <v>27</v>
      </c>
      <c r="G12">
        <v>485</v>
      </c>
      <c r="H12">
        <v>25</v>
      </c>
      <c r="I12">
        <f t="shared" si="0"/>
        <v>12.5</v>
      </c>
      <c r="J12" s="96">
        <f t="shared" si="1"/>
        <v>154.38029479913848</v>
      </c>
      <c r="L12" t="s">
        <v>322</v>
      </c>
    </row>
    <row r="13" spans="1:12">
      <c r="A13">
        <v>42</v>
      </c>
      <c r="B13" t="s">
        <v>326</v>
      </c>
      <c r="C13" t="s">
        <v>883</v>
      </c>
      <c r="D13" s="130" t="s">
        <v>323</v>
      </c>
      <c r="E13" s="130">
        <v>225</v>
      </c>
      <c r="F13">
        <v>26</v>
      </c>
      <c r="G13">
        <v>410</v>
      </c>
      <c r="H13">
        <v>25</v>
      </c>
      <c r="I13">
        <f t="shared" si="0"/>
        <v>12.5</v>
      </c>
      <c r="J13" s="96">
        <f t="shared" si="1"/>
        <v>130.50705333535419</v>
      </c>
      <c r="K13" t="s">
        <v>327</v>
      </c>
      <c r="L13" t="s">
        <v>322</v>
      </c>
    </row>
    <row r="14" spans="1:12">
      <c r="A14">
        <v>57</v>
      </c>
      <c r="B14" t="s">
        <v>328</v>
      </c>
      <c r="C14" t="s">
        <v>883</v>
      </c>
      <c r="D14" s="130">
        <v>240</v>
      </c>
      <c r="E14">
        <v>240</v>
      </c>
      <c r="F14">
        <v>41</v>
      </c>
      <c r="G14">
        <v>470</v>
      </c>
      <c r="H14">
        <v>23</v>
      </c>
      <c r="I14">
        <f t="shared" si="0"/>
        <v>11.5</v>
      </c>
      <c r="J14" s="96">
        <f t="shared" si="1"/>
        <v>149.60564650638162</v>
      </c>
      <c r="L14" t="s">
        <v>315</v>
      </c>
    </row>
    <row r="15" spans="1:12">
      <c r="A15">
        <v>148</v>
      </c>
      <c r="B15" t="s">
        <v>329</v>
      </c>
      <c r="C15" t="s">
        <v>883</v>
      </c>
      <c r="D15" s="130" t="s">
        <v>330</v>
      </c>
      <c r="E15">
        <v>250</v>
      </c>
      <c r="F15">
        <v>40</v>
      </c>
      <c r="G15">
        <v>475</v>
      </c>
      <c r="H15">
        <v>24</v>
      </c>
      <c r="I15">
        <f t="shared" si="0"/>
        <v>12</v>
      </c>
      <c r="J15" s="96">
        <f t="shared" si="1"/>
        <v>151.19719593730056</v>
      </c>
      <c r="L15" t="s">
        <v>331</v>
      </c>
    </row>
    <row r="16" spans="1:12">
      <c r="A16">
        <v>60</v>
      </c>
      <c r="B16" t="s">
        <v>332</v>
      </c>
      <c r="C16" t="s">
        <v>883</v>
      </c>
      <c r="D16" s="130" t="s">
        <v>330</v>
      </c>
      <c r="E16">
        <v>250</v>
      </c>
      <c r="F16">
        <v>34</v>
      </c>
      <c r="G16">
        <v>475</v>
      </c>
      <c r="H16">
        <v>28</v>
      </c>
      <c r="I16">
        <f t="shared" si="0"/>
        <v>14</v>
      </c>
      <c r="J16" s="96">
        <f t="shared" si="1"/>
        <v>151.19719593730056</v>
      </c>
      <c r="K16" t="s">
        <v>333</v>
      </c>
      <c r="L16" t="s">
        <v>315</v>
      </c>
    </row>
    <row r="17" spans="1:12">
      <c r="A17">
        <v>2</v>
      </c>
      <c r="B17" t="s">
        <v>334</v>
      </c>
      <c r="C17" t="s">
        <v>883</v>
      </c>
      <c r="D17" s="130" t="s">
        <v>330</v>
      </c>
      <c r="E17" s="130">
        <v>250</v>
      </c>
      <c r="F17">
        <v>27</v>
      </c>
      <c r="G17">
        <v>650</v>
      </c>
      <c r="H17">
        <v>29</v>
      </c>
      <c r="I17">
        <f t="shared" si="0"/>
        <v>14.5</v>
      </c>
      <c r="J17" s="96">
        <f t="shared" si="1"/>
        <v>206.90142601946394</v>
      </c>
      <c r="K17" t="s">
        <v>335</v>
      </c>
      <c r="L17" t="s">
        <v>322</v>
      </c>
    </row>
    <row r="18" spans="1:12">
      <c r="A18">
        <v>10</v>
      </c>
      <c r="B18" t="s">
        <v>336</v>
      </c>
      <c r="C18" t="s">
        <v>883</v>
      </c>
      <c r="D18" s="130" t="s">
        <v>330</v>
      </c>
      <c r="E18" s="130">
        <v>250</v>
      </c>
      <c r="F18">
        <v>36</v>
      </c>
      <c r="G18">
        <v>690</v>
      </c>
      <c r="H18">
        <v>27</v>
      </c>
      <c r="I18">
        <f t="shared" si="0"/>
        <v>13.5</v>
      </c>
      <c r="J18" s="96">
        <f t="shared" si="1"/>
        <v>219.63382146681556</v>
      </c>
      <c r="K18" t="s">
        <v>335</v>
      </c>
      <c r="L18" t="s">
        <v>322</v>
      </c>
    </row>
    <row r="19" spans="1:12">
      <c r="A19">
        <v>29</v>
      </c>
      <c r="B19" t="s">
        <v>337</v>
      </c>
      <c r="C19" t="s">
        <v>883</v>
      </c>
      <c r="D19" s="130" t="s">
        <v>330</v>
      </c>
      <c r="E19" s="130">
        <v>250</v>
      </c>
      <c r="F19">
        <v>24</v>
      </c>
      <c r="G19">
        <v>560</v>
      </c>
      <c r="H19">
        <v>24</v>
      </c>
      <c r="I19">
        <f t="shared" si="0"/>
        <v>12</v>
      </c>
      <c r="J19" s="96">
        <f t="shared" si="1"/>
        <v>178.25353626292278</v>
      </c>
      <c r="L19" t="s">
        <v>322</v>
      </c>
    </row>
    <row r="20" spans="1:12">
      <c r="A20">
        <v>59</v>
      </c>
      <c r="B20" t="s">
        <v>338</v>
      </c>
      <c r="C20" t="s">
        <v>883</v>
      </c>
      <c r="D20" s="130" t="s">
        <v>330</v>
      </c>
      <c r="E20" s="130">
        <v>250</v>
      </c>
      <c r="F20">
        <v>25</v>
      </c>
      <c r="G20">
        <v>415</v>
      </c>
      <c r="H20">
        <v>20</v>
      </c>
      <c r="I20">
        <f t="shared" si="0"/>
        <v>10</v>
      </c>
      <c r="J20" s="96">
        <f t="shared" si="1"/>
        <v>132.09860276627313</v>
      </c>
      <c r="K20" t="s">
        <v>327</v>
      </c>
      <c r="L20" t="s">
        <v>322</v>
      </c>
    </row>
    <row r="21" spans="1:12">
      <c r="A21">
        <v>61</v>
      </c>
      <c r="B21" t="s">
        <v>339</v>
      </c>
      <c r="C21" t="s">
        <v>883</v>
      </c>
      <c r="D21" s="130" t="s">
        <v>330</v>
      </c>
      <c r="E21" s="130">
        <v>250</v>
      </c>
      <c r="F21">
        <v>17</v>
      </c>
      <c r="G21">
        <v>665</v>
      </c>
      <c r="H21">
        <v>26</v>
      </c>
      <c r="I21">
        <f t="shared" si="0"/>
        <v>13</v>
      </c>
      <c r="J21" s="96">
        <f t="shared" si="1"/>
        <v>211.67607431222081</v>
      </c>
      <c r="K21" t="s">
        <v>327</v>
      </c>
      <c r="L21" t="s">
        <v>322</v>
      </c>
    </row>
    <row r="22" spans="1:12">
      <c r="A22">
        <v>100</v>
      </c>
      <c r="B22" t="s">
        <v>340</v>
      </c>
      <c r="C22" t="s">
        <v>883</v>
      </c>
      <c r="D22" s="130" t="s">
        <v>341</v>
      </c>
      <c r="E22">
        <v>275</v>
      </c>
      <c r="F22">
        <v>35</v>
      </c>
      <c r="G22">
        <v>570</v>
      </c>
      <c r="H22">
        <v>25</v>
      </c>
      <c r="I22">
        <f t="shared" si="0"/>
        <v>12.5</v>
      </c>
      <c r="J22" s="96">
        <f t="shared" si="1"/>
        <v>181.4366351247607</v>
      </c>
      <c r="L22" t="s">
        <v>331</v>
      </c>
    </row>
    <row r="23" spans="1:12">
      <c r="A23">
        <v>86</v>
      </c>
      <c r="B23" t="s">
        <v>342</v>
      </c>
      <c r="C23" t="s">
        <v>883</v>
      </c>
      <c r="D23" s="130" t="s">
        <v>341</v>
      </c>
      <c r="E23">
        <v>275</v>
      </c>
      <c r="F23">
        <v>40</v>
      </c>
      <c r="G23">
        <v>550</v>
      </c>
      <c r="H23">
        <v>26</v>
      </c>
      <c r="I23">
        <f t="shared" si="0"/>
        <v>13</v>
      </c>
      <c r="J23" s="96">
        <f t="shared" si="1"/>
        <v>175.07043740108489</v>
      </c>
      <c r="L23" t="s">
        <v>315</v>
      </c>
    </row>
    <row r="24" spans="1:12">
      <c r="A24">
        <v>162</v>
      </c>
      <c r="B24" t="s">
        <v>343</v>
      </c>
      <c r="C24" t="s">
        <v>883</v>
      </c>
      <c r="D24" s="130" t="s">
        <v>341</v>
      </c>
      <c r="E24">
        <v>275</v>
      </c>
      <c r="F24">
        <v>26</v>
      </c>
      <c r="G24">
        <v>400</v>
      </c>
      <c r="H24">
        <v>25</v>
      </c>
      <c r="I24">
        <f t="shared" si="0"/>
        <v>12.5</v>
      </c>
      <c r="J24" s="96">
        <f t="shared" si="1"/>
        <v>127.32395447351627</v>
      </c>
      <c r="K24" t="s">
        <v>319</v>
      </c>
      <c r="L24" t="s">
        <v>315</v>
      </c>
    </row>
    <row r="25" spans="1:12">
      <c r="A25">
        <v>166</v>
      </c>
      <c r="B25" t="s">
        <v>344</v>
      </c>
      <c r="C25" t="s">
        <v>883</v>
      </c>
      <c r="D25" s="130" t="s">
        <v>341</v>
      </c>
      <c r="E25">
        <v>275</v>
      </c>
      <c r="F25">
        <v>20</v>
      </c>
      <c r="G25">
        <v>400</v>
      </c>
      <c r="H25">
        <v>15</v>
      </c>
      <c r="I25">
        <f t="shared" si="0"/>
        <v>7.5</v>
      </c>
      <c r="J25" s="96">
        <f t="shared" si="1"/>
        <v>127.32395447351627</v>
      </c>
      <c r="L25" t="s">
        <v>315</v>
      </c>
    </row>
    <row r="26" spans="1:12">
      <c r="A26">
        <v>32</v>
      </c>
      <c r="B26" t="s">
        <v>345</v>
      </c>
      <c r="C26" t="s">
        <v>883</v>
      </c>
      <c r="D26" s="130" t="s">
        <v>341</v>
      </c>
      <c r="E26" s="130">
        <v>275</v>
      </c>
      <c r="F26">
        <v>26</v>
      </c>
      <c r="G26">
        <v>500</v>
      </c>
      <c r="H26">
        <v>28</v>
      </c>
      <c r="I26">
        <f t="shared" si="0"/>
        <v>14</v>
      </c>
      <c r="J26" s="96">
        <f t="shared" si="1"/>
        <v>159.15494309189535</v>
      </c>
      <c r="K26" t="s">
        <v>346</v>
      </c>
      <c r="L26" t="s">
        <v>322</v>
      </c>
    </row>
    <row r="27" spans="1:12">
      <c r="A27">
        <v>149</v>
      </c>
      <c r="B27" t="s">
        <v>329</v>
      </c>
      <c r="C27" t="s">
        <v>883</v>
      </c>
      <c r="D27" s="130" t="s">
        <v>347</v>
      </c>
      <c r="E27">
        <v>300</v>
      </c>
      <c r="F27">
        <v>35</v>
      </c>
      <c r="G27">
        <v>610</v>
      </c>
      <c r="H27">
        <v>28</v>
      </c>
      <c r="I27">
        <f t="shared" si="0"/>
        <v>14</v>
      </c>
      <c r="J27" s="96">
        <f t="shared" si="1"/>
        <v>194.16903057211232</v>
      </c>
      <c r="L27" t="s">
        <v>331</v>
      </c>
    </row>
    <row r="28" spans="1:12">
      <c r="A28">
        <v>192</v>
      </c>
      <c r="B28" t="s">
        <v>348</v>
      </c>
      <c r="C28" t="s">
        <v>883</v>
      </c>
      <c r="D28" s="130" t="s">
        <v>347</v>
      </c>
      <c r="E28">
        <v>300</v>
      </c>
      <c r="F28">
        <v>30</v>
      </c>
      <c r="G28">
        <v>630</v>
      </c>
      <c r="H28">
        <v>38</v>
      </c>
      <c r="I28">
        <f t="shared" si="0"/>
        <v>19</v>
      </c>
      <c r="J28" s="96">
        <f t="shared" si="1"/>
        <v>200.53522829578813</v>
      </c>
      <c r="K28" t="s">
        <v>333</v>
      </c>
      <c r="L28" t="s">
        <v>315</v>
      </c>
    </row>
    <row r="29" spans="1:12">
      <c r="A29">
        <v>60</v>
      </c>
      <c r="B29" t="s">
        <v>338</v>
      </c>
      <c r="C29" t="s">
        <v>883</v>
      </c>
      <c r="D29" s="130" t="s">
        <v>347</v>
      </c>
      <c r="E29" s="130">
        <v>300</v>
      </c>
      <c r="F29">
        <v>25</v>
      </c>
      <c r="G29">
        <v>570</v>
      </c>
      <c r="H29">
        <v>26</v>
      </c>
      <c r="I29">
        <f t="shared" si="0"/>
        <v>13</v>
      </c>
      <c r="J29" s="96">
        <f t="shared" si="1"/>
        <v>181.4366351247607</v>
      </c>
      <c r="K29" t="s">
        <v>327</v>
      </c>
      <c r="L29" t="s">
        <v>322</v>
      </c>
    </row>
    <row r="30" spans="1:12">
      <c r="A30">
        <v>63</v>
      </c>
      <c r="B30" t="s">
        <v>349</v>
      </c>
      <c r="C30" t="s">
        <v>883</v>
      </c>
      <c r="D30" s="130" t="s">
        <v>350</v>
      </c>
      <c r="E30">
        <v>325</v>
      </c>
      <c r="F30">
        <v>30</v>
      </c>
      <c r="G30">
        <v>600</v>
      </c>
      <c r="H30">
        <v>14</v>
      </c>
      <c r="I30">
        <f t="shared" si="0"/>
        <v>7</v>
      </c>
      <c r="J30" s="96">
        <f t="shared" si="1"/>
        <v>190.9859317102744</v>
      </c>
      <c r="L30" t="s">
        <v>315</v>
      </c>
    </row>
    <row r="31" spans="1:12">
      <c r="A31">
        <v>8</v>
      </c>
      <c r="B31" t="s">
        <v>351</v>
      </c>
      <c r="C31" t="s">
        <v>883</v>
      </c>
      <c r="D31" s="130" t="s">
        <v>350</v>
      </c>
      <c r="E31" s="130">
        <v>325</v>
      </c>
      <c r="F31">
        <v>27</v>
      </c>
      <c r="G31">
        <v>720</v>
      </c>
      <c r="H31">
        <v>20</v>
      </c>
      <c r="I31">
        <f t="shared" si="0"/>
        <v>10</v>
      </c>
      <c r="J31" s="96">
        <f t="shared" si="1"/>
        <v>229.18311805232929</v>
      </c>
      <c r="L31" t="s">
        <v>322</v>
      </c>
    </row>
    <row r="32" spans="1:12">
      <c r="A32">
        <v>256</v>
      </c>
      <c r="B32" t="s">
        <v>352</v>
      </c>
      <c r="C32" t="s">
        <v>872</v>
      </c>
      <c r="D32" s="130">
        <v>120</v>
      </c>
      <c r="E32">
        <v>120</v>
      </c>
      <c r="F32">
        <v>30</v>
      </c>
      <c r="G32">
        <v>305</v>
      </c>
      <c r="H32">
        <v>14</v>
      </c>
      <c r="I32">
        <f t="shared" si="0"/>
        <v>7</v>
      </c>
      <c r="J32" s="96">
        <f t="shared" si="1"/>
        <v>97.08451528605616</v>
      </c>
      <c r="K32" t="s">
        <v>353</v>
      </c>
      <c r="L32" t="s">
        <v>354</v>
      </c>
    </row>
    <row r="33" spans="1:12">
      <c r="A33">
        <v>28</v>
      </c>
      <c r="B33" t="s">
        <v>355</v>
      </c>
      <c r="C33" t="s">
        <v>872</v>
      </c>
      <c r="D33" s="130">
        <v>220</v>
      </c>
      <c r="E33">
        <v>220</v>
      </c>
      <c r="F33">
        <v>28</v>
      </c>
      <c r="G33">
        <v>520</v>
      </c>
      <c r="H33">
        <v>27</v>
      </c>
      <c r="I33">
        <f t="shared" si="0"/>
        <v>13.5</v>
      </c>
      <c r="J33" s="96">
        <f t="shared" si="1"/>
        <v>165.52114081557116</v>
      </c>
      <c r="K33" t="s">
        <v>335</v>
      </c>
      <c r="L33" t="s">
        <v>354</v>
      </c>
    </row>
    <row r="34" spans="1:12">
      <c r="A34">
        <v>110</v>
      </c>
      <c r="B34" t="s">
        <v>356</v>
      </c>
      <c r="C34" t="s">
        <v>872</v>
      </c>
      <c r="D34" s="130" t="s">
        <v>323</v>
      </c>
      <c r="E34">
        <v>225</v>
      </c>
      <c r="F34">
        <v>24</v>
      </c>
      <c r="G34">
        <v>600</v>
      </c>
      <c r="H34">
        <v>25</v>
      </c>
      <c r="I34">
        <f t="shared" si="0"/>
        <v>12.5</v>
      </c>
      <c r="J34" s="96">
        <f t="shared" si="1"/>
        <v>190.9859317102744</v>
      </c>
      <c r="L34" t="s">
        <v>354</v>
      </c>
    </row>
    <row r="35" spans="1:12">
      <c r="A35">
        <v>57</v>
      </c>
      <c r="B35" t="s">
        <v>357</v>
      </c>
      <c r="C35" t="s">
        <v>872</v>
      </c>
      <c r="D35" s="130">
        <v>250</v>
      </c>
      <c r="E35">
        <v>250</v>
      </c>
      <c r="F35">
        <v>41</v>
      </c>
      <c r="G35">
        <v>470</v>
      </c>
      <c r="H35">
        <v>17</v>
      </c>
      <c r="I35">
        <f t="shared" si="0"/>
        <v>8.5</v>
      </c>
      <c r="J35" s="96">
        <f t="shared" si="1"/>
        <v>149.60564650638162</v>
      </c>
      <c r="K35" t="s">
        <v>358</v>
      </c>
      <c r="L35" t="s">
        <v>354</v>
      </c>
    </row>
    <row r="36" spans="1:12">
      <c r="A36">
        <v>201</v>
      </c>
      <c r="B36" t="s">
        <v>359</v>
      </c>
      <c r="C36" t="s">
        <v>872</v>
      </c>
      <c r="D36" s="130" t="s">
        <v>330</v>
      </c>
      <c r="E36">
        <v>250</v>
      </c>
      <c r="F36">
        <v>21</v>
      </c>
      <c r="G36">
        <v>620</v>
      </c>
      <c r="H36">
        <v>19</v>
      </c>
      <c r="I36">
        <f t="shared" si="0"/>
        <v>9.5</v>
      </c>
      <c r="J36" s="96">
        <f t="shared" si="1"/>
        <v>197.35212943395021</v>
      </c>
      <c r="K36" t="s">
        <v>360</v>
      </c>
      <c r="L36" t="s">
        <v>354</v>
      </c>
    </row>
    <row r="37" spans="1:12">
      <c r="A37">
        <v>181</v>
      </c>
      <c r="B37" t="s">
        <v>361</v>
      </c>
      <c r="C37" t="s">
        <v>872</v>
      </c>
      <c r="D37" s="130">
        <v>300</v>
      </c>
      <c r="E37">
        <v>300</v>
      </c>
      <c r="F37">
        <v>27</v>
      </c>
      <c r="G37">
        <v>605</v>
      </c>
      <c r="H37">
        <v>26</v>
      </c>
      <c r="I37">
        <f t="shared" si="0"/>
        <v>13</v>
      </c>
      <c r="J37" s="96">
        <f t="shared" si="1"/>
        <v>192.57748114119337</v>
      </c>
      <c r="L37" t="s">
        <v>354</v>
      </c>
    </row>
    <row r="38" spans="1:12">
      <c r="A38">
        <v>69</v>
      </c>
      <c r="B38" t="s">
        <v>362</v>
      </c>
      <c r="C38" t="s">
        <v>872</v>
      </c>
      <c r="D38" s="130" t="s">
        <v>350</v>
      </c>
      <c r="E38">
        <v>325</v>
      </c>
      <c r="F38">
        <v>26</v>
      </c>
      <c r="G38">
        <v>820</v>
      </c>
      <c r="H38">
        <v>30</v>
      </c>
      <c r="I38">
        <f t="shared" si="0"/>
        <v>15</v>
      </c>
      <c r="J38" s="96">
        <f t="shared" si="1"/>
        <v>261.01410667070837</v>
      </c>
      <c r="L38" t="s">
        <v>354</v>
      </c>
    </row>
    <row r="39" spans="1:12">
      <c r="A39">
        <v>247</v>
      </c>
      <c r="B39" t="s">
        <v>363</v>
      </c>
      <c r="C39" t="s">
        <v>872</v>
      </c>
      <c r="D39" s="130" t="s">
        <v>364</v>
      </c>
      <c r="E39">
        <v>350</v>
      </c>
      <c r="F39">
        <v>50</v>
      </c>
      <c r="G39">
        <v>400</v>
      </c>
      <c r="H39">
        <v>20</v>
      </c>
      <c r="I39">
        <f t="shared" si="0"/>
        <v>10</v>
      </c>
      <c r="J39" s="96">
        <f t="shared" si="1"/>
        <v>127.32395447351627</v>
      </c>
      <c r="K39" t="s">
        <v>365</v>
      </c>
      <c r="L39" t="s">
        <v>354</v>
      </c>
    </row>
    <row r="40" spans="1:12">
      <c r="D40" s="130"/>
      <c r="J40" s="96"/>
    </row>
    <row r="41" spans="1:12">
      <c r="C41" s="272" t="s">
        <v>870</v>
      </c>
      <c r="D41" s="130"/>
      <c r="E41" s="130"/>
      <c r="J41" s="96"/>
    </row>
    <row r="42" spans="1:12">
      <c r="A42">
        <v>167</v>
      </c>
      <c r="B42" t="s">
        <v>366</v>
      </c>
      <c r="C42" t="s">
        <v>870</v>
      </c>
      <c r="D42" s="130" t="s">
        <v>367</v>
      </c>
      <c r="E42">
        <v>113</v>
      </c>
      <c r="F42">
        <v>50</v>
      </c>
      <c r="G42">
        <v>320</v>
      </c>
      <c r="H42">
        <v>13</v>
      </c>
      <c r="I42">
        <f>H42/2</f>
        <v>6.5</v>
      </c>
      <c r="J42" s="96">
        <f>G42/PI()</f>
        <v>101.85916357881302</v>
      </c>
      <c r="K42" t="s">
        <v>368</v>
      </c>
      <c r="L42" t="s">
        <v>354</v>
      </c>
    </row>
    <row r="43" spans="1:12">
      <c r="A43">
        <v>12</v>
      </c>
      <c r="B43" t="s">
        <v>369</v>
      </c>
      <c r="C43" t="s">
        <v>870</v>
      </c>
      <c r="D43" s="130">
        <v>147</v>
      </c>
      <c r="E43" s="130">
        <v>147</v>
      </c>
      <c r="F43">
        <v>36</v>
      </c>
      <c r="G43">
        <v>325</v>
      </c>
      <c r="H43">
        <v>20</v>
      </c>
      <c r="I43">
        <f>H43/2</f>
        <v>10</v>
      </c>
      <c r="J43" s="96">
        <f>G43/PI()</f>
        <v>103.45071300973197</v>
      </c>
      <c r="K43" t="s">
        <v>370</v>
      </c>
      <c r="L43" t="s">
        <v>322</v>
      </c>
    </row>
    <row r="44" spans="1:12">
      <c r="A44">
        <v>95</v>
      </c>
      <c r="B44" t="s">
        <v>371</v>
      </c>
      <c r="C44" t="s">
        <v>870</v>
      </c>
      <c r="D44" s="130">
        <v>151</v>
      </c>
      <c r="E44">
        <v>151</v>
      </c>
      <c r="F44">
        <v>39</v>
      </c>
      <c r="G44">
        <v>370</v>
      </c>
      <c r="H44">
        <v>7</v>
      </c>
      <c r="I44">
        <f>H44/2</f>
        <v>3.5</v>
      </c>
      <c r="J44" s="96">
        <f>G44/PI()</f>
        <v>117.77465788800255</v>
      </c>
      <c r="L44" t="s">
        <v>354</v>
      </c>
    </row>
    <row r="45" spans="1:12">
      <c r="D45" s="130"/>
      <c r="J45" s="96"/>
    </row>
    <row r="46" spans="1:12">
      <c r="C46" s="272" t="s">
        <v>372</v>
      </c>
    </row>
    <row r="47" spans="1:12">
      <c r="A47">
        <v>150</v>
      </c>
      <c r="B47" t="s">
        <v>373</v>
      </c>
      <c r="C47" t="s">
        <v>372</v>
      </c>
      <c r="D47" s="130" t="s">
        <v>374</v>
      </c>
      <c r="E47">
        <v>125</v>
      </c>
      <c r="F47">
        <v>23</v>
      </c>
      <c r="G47">
        <v>300</v>
      </c>
      <c r="H47">
        <v>14</v>
      </c>
      <c r="I47">
        <f t="shared" ref="I47:I110" si="2">H47/2</f>
        <v>7</v>
      </c>
      <c r="J47" s="96">
        <f t="shared" ref="J47:J110" si="3">G47/PI()</f>
        <v>95.4929658551372</v>
      </c>
      <c r="L47" t="s">
        <v>331</v>
      </c>
    </row>
    <row r="48" spans="1:12">
      <c r="A48">
        <v>221</v>
      </c>
      <c r="B48" t="s">
        <v>375</v>
      </c>
      <c r="C48" t="s">
        <v>372</v>
      </c>
      <c r="D48" s="130">
        <v>163</v>
      </c>
      <c r="E48">
        <v>163</v>
      </c>
      <c r="F48">
        <v>16</v>
      </c>
      <c r="G48">
        <v>395</v>
      </c>
      <c r="H48">
        <v>12</v>
      </c>
      <c r="I48">
        <f t="shared" si="2"/>
        <v>6</v>
      </c>
      <c r="J48" s="96">
        <f t="shared" si="3"/>
        <v>125.73240504259732</v>
      </c>
      <c r="L48" t="s">
        <v>315</v>
      </c>
    </row>
    <row r="49" spans="1:12">
      <c r="A49">
        <v>232</v>
      </c>
      <c r="B49" t="s">
        <v>376</v>
      </c>
      <c r="C49" t="s">
        <v>372</v>
      </c>
      <c r="D49" s="130" t="s">
        <v>330</v>
      </c>
      <c r="E49">
        <v>250</v>
      </c>
      <c r="F49">
        <v>27</v>
      </c>
      <c r="G49">
        <v>540</v>
      </c>
      <c r="H49">
        <v>30</v>
      </c>
      <c r="I49">
        <f t="shared" si="2"/>
        <v>15</v>
      </c>
      <c r="J49" s="96">
        <f t="shared" si="3"/>
        <v>171.88733853924697</v>
      </c>
      <c r="K49" t="s">
        <v>377</v>
      </c>
      <c r="L49" t="s">
        <v>331</v>
      </c>
    </row>
    <row r="50" spans="1:12">
      <c r="A50">
        <v>232</v>
      </c>
      <c r="B50" t="s">
        <v>376</v>
      </c>
      <c r="C50" t="s">
        <v>372</v>
      </c>
      <c r="D50" s="130" t="s">
        <v>330</v>
      </c>
      <c r="E50">
        <v>250</v>
      </c>
      <c r="F50">
        <v>27</v>
      </c>
      <c r="G50">
        <v>565</v>
      </c>
      <c r="H50">
        <v>30</v>
      </c>
      <c r="I50">
        <f t="shared" si="2"/>
        <v>15</v>
      </c>
      <c r="J50" s="96">
        <f t="shared" si="3"/>
        <v>179.84508569384172</v>
      </c>
      <c r="K50" t="s">
        <v>377</v>
      </c>
      <c r="L50" t="s">
        <v>331</v>
      </c>
    </row>
    <row r="51" spans="1:12">
      <c r="A51">
        <v>142</v>
      </c>
      <c r="B51" t="s">
        <v>378</v>
      </c>
      <c r="C51" t="s">
        <v>372</v>
      </c>
      <c r="D51" s="130" t="s">
        <v>347</v>
      </c>
      <c r="E51">
        <v>300</v>
      </c>
      <c r="F51">
        <v>28</v>
      </c>
      <c r="G51">
        <v>450</v>
      </c>
      <c r="H51">
        <v>19</v>
      </c>
      <c r="I51">
        <f t="shared" si="2"/>
        <v>9.5</v>
      </c>
      <c r="J51" s="96">
        <f t="shared" si="3"/>
        <v>143.23944878270581</v>
      </c>
      <c r="L51" t="s">
        <v>331</v>
      </c>
    </row>
    <row r="52" spans="1:12">
      <c r="A52">
        <v>197</v>
      </c>
      <c r="B52" t="s">
        <v>379</v>
      </c>
      <c r="C52" t="s">
        <v>372</v>
      </c>
      <c r="D52" s="130" t="s">
        <v>350</v>
      </c>
      <c r="E52">
        <v>325</v>
      </c>
      <c r="F52">
        <v>27</v>
      </c>
      <c r="G52">
        <v>570</v>
      </c>
      <c r="H52">
        <v>14</v>
      </c>
      <c r="I52">
        <f t="shared" si="2"/>
        <v>7</v>
      </c>
      <c r="J52" s="96">
        <f t="shared" si="3"/>
        <v>181.4366351247607</v>
      </c>
      <c r="L52" t="s">
        <v>331</v>
      </c>
    </row>
    <row r="53" spans="1:12">
      <c r="A53">
        <v>96</v>
      </c>
      <c r="B53" t="s">
        <v>380</v>
      </c>
      <c r="C53" t="s">
        <v>372</v>
      </c>
      <c r="D53" s="130" t="s">
        <v>350</v>
      </c>
      <c r="E53" s="130">
        <v>325</v>
      </c>
      <c r="F53">
        <v>19</v>
      </c>
      <c r="G53">
        <v>470</v>
      </c>
      <c r="H53">
        <v>23</v>
      </c>
      <c r="I53">
        <f t="shared" si="2"/>
        <v>11.5</v>
      </c>
      <c r="J53" s="96">
        <f t="shared" si="3"/>
        <v>149.60564650638162</v>
      </c>
      <c r="L53" t="s">
        <v>322</v>
      </c>
    </row>
    <row r="54" spans="1:12">
      <c r="A54">
        <v>6</v>
      </c>
      <c r="B54" t="s">
        <v>381</v>
      </c>
      <c r="C54" t="s">
        <v>372</v>
      </c>
      <c r="D54" s="130" t="s">
        <v>382</v>
      </c>
      <c r="E54">
        <v>350</v>
      </c>
      <c r="F54">
        <v>35</v>
      </c>
      <c r="G54">
        <v>400</v>
      </c>
      <c r="H54">
        <v>14</v>
      </c>
      <c r="I54">
        <f t="shared" si="2"/>
        <v>7</v>
      </c>
      <c r="J54" s="96">
        <f t="shared" si="3"/>
        <v>127.32395447351627</v>
      </c>
      <c r="L54" t="s">
        <v>331</v>
      </c>
    </row>
    <row r="55" spans="1:12">
      <c r="A55">
        <v>22</v>
      </c>
      <c r="B55" t="s">
        <v>383</v>
      </c>
      <c r="C55" t="s">
        <v>372</v>
      </c>
      <c r="D55" s="130" t="s">
        <v>382</v>
      </c>
      <c r="E55">
        <v>350</v>
      </c>
      <c r="F55">
        <v>30</v>
      </c>
      <c r="G55">
        <v>545</v>
      </c>
      <c r="H55">
        <v>20</v>
      </c>
      <c r="I55">
        <f t="shared" si="2"/>
        <v>10</v>
      </c>
      <c r="J55" s="96">
        <f t="shared" si="3"/>
        <v>173.47888797016591</v>
      </c>
      <c r="L55" t="s">
        <v>331</v>
      </c>
    </row>
    <row r="56" spans="1:12">
      <c r="A56">
        <v>133</v>
      </c>
      <c r="B56" t="s">
        <v>384</v>
      </c>
      <c r="C56" t="s">
        <v>372</v>
      </c>
      <c r="D56" s="130" t="s">
        <v>382</v>
      </c>
      <c r="E56">
        <v>350</v>
      </c>
      <c r="F56">
        <v>30</v>
      </c>
      <c r="G56">
        <v>530</v>
      </c>
      <c r="H56">
        <v>28</v>
      </c>
      <c r="I56">
        <f t="shared" si="2"/>
        <v>14</v>
      </c>
      <c r="J56" s="96">
        <f t="shared" si="3"/>
        <v>168.70423967740905</v>
      </c>
      <c r="L56" t="s">
        <v>331</v>
      </c>
    </row>
    <row r="57" spans="1:12">
      <c r="A57">
        <v>133</v>
      </c>
      <c r="B57" t="s">
        <v>384</v>
      </c>
      <c r="C57" t="s">
        <v>372</v>
      </c>
      <c r="D57" s="130" t="s">
        <v>382</v>
      </c>
      <c r="E57">
        <v>350</v>
      </c>
      <c r="F57">
        <v>28</v>
      </c>
      <c r="G57">
        <v>515</v>
      </c>
      <c r="H57">
        <v>26</v>
      </c>
      <c r="I57">
        <f t="shared" si="2"/>
        <v>13</v>
      </c>
      <c r="J57" s="96">
        <f t="shared" si="3"/>
        <v>163.92959138465221</v>
      </c>
      <c r="L57" t="s">
        <v>331</v>
      </c>
    </row>
    <row r="58" spans="1:12">
      <c r="A58">
        <v>133</v>
      </c>
      <c r="B58" t="s">
        <v>384</v>
      </c>
      <c r="C58" t="s">
        <v>372</v>
      </c>
      <c r="D58" s="130" t="s">
        <v>382</v>
      </c>
      <c r="E58">
        <v>350</v>
      </c>
      <c r="F58">
        <v>19</v>
      </c>
      <c r="G58">
        <v>480</v>
      </c>
      <c r="H58">
        <v>22</v>
      </c>
      <c r="I58">
        <f t="shared" si="2"/>
        <v>11</v>
      </c>
      <c r="J58" s="96">
        <f t="shared" si="3"/>
        <v>152.78874536821954</v>
      </c>
      <c r="L58" t="s">
        <v>331</v>
      </c>
    </row>
    <row r="59" spans="1:12">
      <c r="A59">
        <v>133</v>
      </c>
      <c r="B59" t="s">
        <v>384</v>
      </c>
      <c r="C59" t="s">
        <v>372</v>
      </c>
      <c r="D59" s="130" t="s">
        <v>382</v>
      </c>
      <c r="E59">
        <v>350</v>
      </c>
      <c r="F59">
        <v>23</v>
      </c>
      <c r="G59">
        <v>500</v>
      </c>
      <c r="H59">
        <v>23</v>
      </c>
      <c r="I59">
        <f t="shared" si="2"/>
        <v>11.5</v>
      </c>
      <c r="J59" s="96">
        <f t="shared" si="3"/>
        <v>159.15494309189535</v>
      </c>
      <c r="L59" t="s">
        <v>331</v>
      </c>
    </row>
    <row r="60" spans="1:12">
      <c r="A60">
        <v>162</v>
      </c>
      <c r="B60" t="s">
        <v>385</v>
      </c>
      <c r="C60" t="s">
        <v>372</v>
      </c>
      <c r="D60" s="130" t="s">
        <v>382</v>
      </c>
      <c r="E60">
        <v>350</v>
      </c>
      <c r="F60">
        <v>22</v>
      </c>
      <c r="G60">
        <v>425</v>
      </c>
      <c r="H60">
        <v>18</v>
      </c>
      <c r="I60">
        <f t="shared" si="2"/>
        <v>9</v>
      </c>
      <c r="J60" s="96">
        <f t="shared" si="3"/>
        <v>135.28170162811105</v>
      </c>
      <c r="L60" t="s">
        <v>331</v>
      </c>
    </row>
    <row r="61" spans="1:12">
      <c r="A61">
        <v>163</v>
      </c>
      <c r="B61" t="s">
        <v>386</v>
      </c>
      <c r="C61" t="s">
        <v>372</v>
      </c>
      <c r="D61" s="130" t="s">
        <v>382</v>
      </c>
      <c r="E61">
        <v>350</v>
      </c>
      <c r="F61">
        <v>21</v>
      </c>
      <c r="G61">
        <v>540</v>
      </c>
      <c r="H61">
        <v>22</v>
      </c>
      <c r="I61">
        <f t="shared" si="2"/>
        <v>11</v>
      </c>
      <c r="J61" s="96">
        <f t="shared" si="3"/>
        <v>171.88733853924697</v>
      </c>
      <c r="L61" t="s">
        <v>331</v>
      </c>
    </row>
    <row r="62" spans="1:12">
      <c r="A62">
        <v>178</v>
      </c>
      <c r="B62" t="s">
        <v>387</v>
      </c>
      <c r="C62" t="s">
        <v>372</v>
      </c>
      <c r="D62" s="130" t="s">
        <v>382</v>
      </c>
      <c r="E62">
        <v>350</v>
      </c>
      <c r="F62">
        <v>22</v>
      </c>
      <c r="G62">
        <v>485</v>
      </c>
      <c r="H62">
        <v>14</v>
      </c>
      <c r="I62">
        <f t="shared" si="2"/>
        <v>7</v>
      </c>
      <c r="J62" s="96">
        <f t="shared" si="3"/>
        <v>154.38029479913848</v>
      </c>
      <c r="L62" t="s">
        <v>331</v>
      </c>
    </row>
    <row r="63" spans="1:12">
      <c r="A63">
        <v>11</v>
      </c>
      <c r="B63" t="s">
        <v>369</v>
      </c>
      <c r="C63" t="s">
        <v>372</v>
      </c>
      <c r="D63" s="130">
        <v>350</v>
      </c>
      <c r="E63" s="130">
        <v>350</v>
      </c>
      <c r="F63">
        <v>25</v>
      </c>
      <c r="G63">
        <v>520</v>
      </c>
      <c r="H63">
        <v>18</v>
      </c>
      <c r="I63">
        <f t="shared" si="2"/>
        <v>9</v>
      </c>
      <c r="J63" s="96">
        <f t="shared" si="3"/>
        <v>165.52114081557116</v>
      </c>
      <c r="K63" t="s">
        <v>333</v>
      </c>
      <c r="L63" t="s">
        <v>322</v>
      </c>
    </row>
    <row r="64" spans="1:12">
      <c r="A64">
        <v>81</v>
      </c>
      <c r="B64" t="s">
        <v>388</v>
      </c>
      <c r="C64" t="s">
        <v>372</v>
      </c>
      <c r="D64" s="130" t="s">
        <v>382</v>
      </c>
      <c r="E64" s="130">
        <v>350</v>
      </c>
      <c r="F64">
        <v>24</v>
      </c>
      <c r="G64">
        <v>430</v>
      </c>
      <c r="H64">
        <v>26</v>
      </c>
      <c r="I64">
        <f t="shared" si="2"/>
        <v>13</v>
      </c>
      <c r="J64" s="96">
        <f t="shared" si="3"/>
        <v>136.87325105903</v>
      </c>
      <c r="L64" t="s">
        <v>322</v>
      </c>
    </row>
    <row r="65" spans="1:12">
      <c r="A65">
        <v>1</v>
      </c>
      <c r="B65" t="s">
        <v>389</v>
      </c>
      <c r="C65" t="s">
        <v>372</v>
      </c>
      <c r="D65" s="130" t="s">
        <v>390</v>
      </c>
      <c r="E65">
        <v>375</v>
      </c>
      <c r="F65">
        <v>23</v>
      </c>
      <c r="G65">
        <v>605</v>
      </c>
      <c r="H65">
        <v>22</v>
      </c>
      <c r="I65">
        <f t="shared" si="2"/>
        <v>11</v>
      </c>
      <c r="J65" s="96">
        <f t="shared" si="3"/>
        <v>192.57748114119337</v>
      </c>
      <c r="L65" t="s">
        <v>331</v>
      </c>
    </row>
    <row r="66" spans="1:12">
      <c r="A66">
        <v>90</v>
      </c>
      <c r="B66" t="s">
        <v>391</v>
      </c>
      <c r="C66" t="s">
        <v>372</v>
      </c>
      <c r="D66" s="130" t="s">
        <v>390</v>
      </c>
      <c r="E66">
        <v>375</v>
      </c>
      <c r="F66">
        <v>30</v>
      </c>
      <c r="G66">
        <v>585</v>
      </c>
      <c r="H66">
        <v>27</v>
      </c>
      <c r="I66">
        <f t="shared" si="2"/>
        <v>13.5</v>
      </c>
      <c r="J66" s="96">
        <f t="shared" si="3"/>
        <v>186.21128341751756</v>
      </c>
      <c r="L66" t="s">
        <v>331</v>
      </c>
    </row>
    <row r="67" spans="1:12">
      <c r="A67">
        <v>97</v>
      </c>
      <c r="B67" t="s">
        <v>392</v>
      </c>
      <c r="C67" t="s">
        <v>372</v>
      </c>
      <c r="D67" s="130" t="s">
        <v>390</v>
      </c>
      <c r="E67">
        <v>375</v>
      </c>
      <c r="F67">
        <v>24</v>
      </c>
      <c r="G67">
        <v>545</v>
      </c>
      <c r="H67">
        <v>25</v>
      </c>
      <c r="I67">
        <f t="shared" si="2"/>
        <v>12.5</v>
      </c>
      <c r="J67" s="96">
        <f t="shared" si="3"/>
        <v>173.47888797016591</v>
      </c>
      <c r="L67" t="s">
        <v>331</v>
      </c>
    </row>
    <row r="68" spans="1:12">
      <c r="A68">
        <v>194</v>
      </c>
      <c r="B68" t="s">
        <v>393</v>
      </c>
      <c r="C68" t="s">
        <v>372</v>
      </c>
      <c r="D68" s="130" t="s">
        <v>390</v>
      </c>
      <c r="E68">
        <v>375</v>
      </c>
      <c r="F68">
        <v>24</v>
      </c>
      <c r="G68">
        <v>620</v>
      </c>
      <c r="H68">
        <v>18</v>
      </c>
      <c r="I68">
        <f t="shared" si="2"/>
        <v>9</v>
      </c>
      <c r="J68" s="96">
        <f t="shared" si="3"/>
        <v>197.35212943395021</v>
      </c>
      <c r="L68" t="s">
        <v>331</v>
      </c>
    </row>
    <row r="69" spans="1:12">
      <c r="A69">
        <v>58</v>
      </c>
      <c r="B69" t="s">
        <v>394</v>
      </c>
      <c r="C69" t="s">
        <v>372</v>
      </c>
      <c r="D69" s="130" t="s">
        <v>395</v>
      </c>
      <c r="E69">
        <v>400</v>
      </c>
      <c r="F69">
        <v>34</v>
      </c>
      <c r="G69">
        <v>510</v>
      </c>
      <c r="H69">
        <v>20</v>
      </c>
      <c r="I69">
        <f t="shared" si="2"/>
        <v>10</v>
      </c>
      <c r="J69" s="96">
        <f t="shared" si="3"/>
        <v>162.33804195373324</v>
      </c>
      <c r="K69" t="s">
        <v>358</v>
      </c>
      <c r="L69" t="s">
        <v>331</v>
      </c>
    </row>
    <row r="70" spans="1:12">
      <c r="A70">
        <v>20</v>
      </c>
      <c r="B70" t="s">
        <v>396</v>
      </c>
      <c r="C70" t="s">
        <v>372</v>
      </c>
      <c r="D70" s="130">
        <v>400</v>
      </c>
      <c r="E70" s="130">
        <v>400</v>
      </c>
      <c r="F70">
        <v>25</v>
      </c>
      <c r="G70">
        <v>490</v>
      </c>
      <c r="H70">
        <v>25</v>
      </c>
      <c r="I70">
        <f t="shared" si="2"/>
        <v>12.5</v>
      </c>
      <c r="J70" s="96">
        <f t="shared" si="3"/>
        <v>155.97184423005743</v>
      </c>
      <c r="K70" t="s">
        <v>397</v>
      </c>
      <c r="L70" t="s">
        <v>322</v>
      </c>
    </row>
    <row r="71" spans="1:12">
      <c r="A71">
        <v>301</v>
      </c>
      <c r="B71" t="s">
        <v>398</v>
      </c>
      <c r="C71" t="s">
        <v>372</v>
      </c>
      <c r="D71" s="130" t="s">
        <v>399</v>
      </c>
      <c r="E71">
        <v>425</v>
      </c>
      <c r="F71">
        <v>24</v>
      </c>
      <c r="G71">
        <v>610</v>
      </c>
      <c r="H71">
        <v>25</v>
      </c>
      <c r="I71">
        <f t="shared" si="2"/>
        <v>12.5</v>
      </c>
      <c r="J71" s="96">
        <f t="shared" si="3"/>
        <v>194.16903057211232</v>
      </c>
      <c r="L71" t="s">
        <v>331</v>
      </c>
    </row>
    <row r="72" spans="1:12">
      <c r="A72">
        <v>96</v>
      </c>
      <c r="B72" t="s">
        <v>400</v>
      </c>
      <c r="C72" t="s">
        <v>372</v>
      </c>
      <c r="D72" s="130" t="s">
        <v>401</v>
      </c>
      <c r="E72">
        <v>450</v>
      </c>
      <c r="F72">
        <v>30</v>
      </c>
      <c r="G72">
        <v>550</v>
      </c>
      <c r="H72">
        <v>30</v>
      </c>
      <c r="I72">
        <f t="shared" si="2"/>
        <v>15</v>
      </c>
      <c r="J72" s="96">
        <f t="shared" si="3"/>
        <v>175.07043740108489</v>
      </c>
      <c r="L72" t="s">
        <v>331</v>
      </c>
    </row>
    <row r="73" spans="1:12">
      <c r="A73">
        <v>143</v>
      </c>
      <c r="B73" t="s">
        <v>402</v>
      </c>
      <c r="C73" t="s">
        <v>372</v>
      </c>
      <c r="D73" s="130" t="s">
        <v>401</v>
      </c>
      <c r="E73">
        <v>450</v>
      </c>
      <c r="F73">
        <v>24</v>
      </c>
      <c r="G73">
        <v>660</v>
      </c>
      <c r="H73">
        <v>17</v>
      </c>
      <c r="I73">
        <f t="shared" si="2"/>
        <v>8.5</v>
      </c>
      <c r="J73" s="96">
        <f t="shared" si="3"/>
        <v>210.08452488130186</v>
      </c>
      <c r="L73" t="s">
        <v>331</v>
      </c>
    </row>
    <row r="74" spans="1:12">
      <c r="A74">
        <v>271</v>
      </c>
      <c r="B74" t="s">
        <v>403</v>
      </c>
      <c r="C74" t="s">
        <v>372</v>
      </c>
      <c r="D74" s="130" t="s">
        <v>401</v>
      </c>
      <c r="E74">
        <v>450</v>
      </c>
      <c r="F74">
        <v>19</v>
      </c>
      <c r="G74">
        <v>610</v>
      </c>
      <c r="H74">
        <v>15</v>
      </c>
      <c r="I74">
        <f t="shared" si="2"/>
        <v>7.5</v>
      </c>
      <c r="J74" s="96">
        <f t="shared" si="3"/>
        <v>194.16903057211232</v>
      </c>
      <c r="L74" t="s">
        <v>331</v>
      </c>
    </row>
    <row r="75" spans="1:12">
      <c r="A75">
        <v>298</v>
      </c>
      <c r="B75" t="s">
        <v>404</v>
      </c>
      <c r="C75" t="s">
        <v>372</v>
      </c>
      <c r="D75" s="130" t="s">
        <v>401</v>
      </c>
      <c r="E75">
        <v>450</v>
      </c>
      <c r="F75">
        <v>30</v>
      </c>
      <c r="G75">
        <v>625</v>
      </c>
      <c r="H75">
        <v>16</v>
      </c>
      <c r="I75">
        <f t="shared" si="2"/>
        <v>8</v>
      </c>
      <c r="J75" s="96">
        <f t="shared" si="3"/>
        <v>198.94367886486918</v>
      </c>
      <c r="L75" t="s">
        <v>331</v>
      </c>
    </row>
    <row r="76" spans="1:12">
      <c r="A76">
        <v>195</v>
      </c>
      <c r="B76" t="s">
        <v>405</v>
      </c>
      <c r="C76" t="s">
        <v>372</v>
      </c>
      <c r="D76" s="130" t="s">
        <v>401</v>
      </c>
      <c r="E76">
        <v>450</v>
      </c>
      <c r="F76">
        <v>19</v>
      </c>
      <c r="G76">
        <v>540</v>
      </c>
      <c r="H76">
        <v>20</v>
      </c>
      <c r="I76">
        <f t="shared" si="2"/>
        <v>10</v>
      </c>
      <c r="J76" s="96">
        <f t="shared" si="3"/>
        <v>171.88733853924697</v>
      </c>
      <c r="K76" t="s">
        <v>333</v>
      </c>
      <c r="L76" t="s">
        <v>315</v>
      </c>
    </row>
    <row r="77" spans="1:12">
      <c r="A77">
        <v>25</v>
      </c>
      <c r="B77" t="s">
        <v>406</v>
      </c>
      <c r="C77" t="s">
        <v>372</v>
      </c>
      <c r="D77" s="130" t="s">
        <v>401</v>
      </c>
      <c r="E77" s="130">
        <v>450</v>
      </c>
      <c r="F77">
        <v>23</v>
      </c>
      <c r="G77">
        <v>690</v>
      </c>
      <c r="H77">
        <v>26</v>
      </c>
      <c r="I77">
        <f t="shared" si="2"/>
        <v>13</v>
      </c>
      <c r="J77" s="96">
        <f t="shared" si="3"/>
        <v>219.63382146681556</v>
      </c>
      <c r="K77" t="s">
        <v>407</v>
      </c>
      <c r="L77" t="s">
        <v>322</v>
      </c>
    </row>
    <row r="78" spans="1:12">
      <c r="A78">
        <v>44</v>
      </c>
      <c r="B78" t="s">
        <v>408</v>
      </c>
      <c r="C78" t="s">
        <v>372</v>
      </c>
      <c r="D78" s="130" t="s">
        <v>401</v>
      </c>
      <c r="E78" s="130">
        <v>450</v>
      </c>
      <c r="F78">
        <v>22</v>
      </c>
      <c r="G78">
        <v>610</v>
      </c>
      <c r="H78">
        <v>29</v>
      </c>
      <c r="I78">
        <f t="shared" si="2"/>
        <v>14.5</v>
      </c>
      <c r="J78" s="96">
        <f t="shared" si="3"/>
        <v>194.16903057211232</v>
      </c>
      <c r="L78" t="s">
        <v>322</v>
      </c>
    </row>
    <row r="79" spans="1:12">
      <c r="A79">
        <v>122</v>
      </c>
      <c r="B79" t="s">
        <v>409</v>
      </c>
      <c r="C79" t="s">
        <v>372</v>
      </c>
      <c r="D79" s="130" t="s">
        <v>410</v>
      </c>
      <c r="E79">
        <v>500</v>
      </c>
      <c r="F79">
        <v>29</v>
      </c>
      <c r="G79">
        <v>755</v>
      </c>
      <c r="H79">
        <v>30</v>
      </c>
      <c r="I79">
        <f t="shared" si="2"/>
        <v>15</v>
      </c>
      <c r="J79" s="96">
        <f t="shared" si="3"/>
        <v>240.32396406876197</v>
      </c>
      <c r="L79" t="s">
        <v>331</v>
      </c>
    </row>
    <row r="80" spans="1:12">
      <c r="A80">
        <v>126</v>
      </c>
      <c r="B80" t="s">
        <v>411</v>
      </c>
      <c r="C80" t="s">
        <v>372</v>
      </c>
      <c r="D80" s="130" t="s">
        <v>410</v>
      </c>
      <c r="E80">
        <v>500</v>
      </c>
      <c r="F80">
        <v>23</v>
      </c>
      <c r="G80">
        <v>695</v>
      </c>
      <c r="H80">
        <v>24</v>
      </c>
      <c r="I80">
        <f t="shared" si="2"/>
        <v>12</v>
      </c>
      <c r="J80" s="96">
        <f t="shared" si="3"/>
        <v>221.22537089773454</v>
      </c>
      <c r="L80" t="s">
        <v>331</v>
      </c>
    </row>
    <row r="81" spans="1:12">
      <c r="A81">
        <v>92</v>
      </c>
      <c r="B81" t="s">
        <v>412</v>
      </c>
      <c r="C81" t="s">
        <v>372</v>
      </c>
      <c r="D81" s="130" t="s">
        <v>413</v>
      </c>
      <c r="E81">
        <v>550</v>
      </c>
      <c r="F81">
        <v>24</v>
      </c>
      <c r="G81">
        <v>800</v>
      </c>
      <c r="H81">
        <v>23</v>
      </c>
      <c r="I81">
        <f t="shared" si="2"/>
        <v>11.5</v>
      </c>
      <c r="J81" s="96">
        <f t="shared" si="3"/>
        <v>254.64790894703253</v>
      </c>
      <c r="K81" t="s">
        <v>335</v>
      </c>
      <c r="L81" t="s">
        <v>354</v>
      </c>
    </row>
    <row r="82" spans="1:12">
      <c r="A82">
        <v>63</v>
      </c>
      <c r="B82" t="s">
        <v>414</v>
      </c>
      <c r="C82" t="s">
        <v>372</v>
      </c>
      <c r="D82" s="130">
        <v>600</v>
      </c>
      <c r="E82" s="130">
        <v>600</v>
      </c>
      <c r="F82">
        <v>35</v>
      </c>
      <c r="G82">
        <v>780</v>
      </c>
      <c r="H82">
        <v>27</v>
      </c>
      <c r="I82">
        <f t="shared" si="2"/>
        <v>13.5</v>
      </c>
      <c r="J82" s="96">
        <f t="shared" si="3"/>
        <v>248.28171122335672</v>
      </c>
      <c r="K82" t="s">
        <v>415</v>
      </c>
      <c r="L82" t="s">
        <v>322</v>
      </c>
    </row>
    <row r="83" spans="1:12">
      <c r="A83">
        <v>88</v>
      </c>
      <c r="B83" t="s">
        <v>416</v>
      </c>
      <c r="C83" t="s">
        <v>372</v>
      </c>
      <c r="D83" s="130" t="s">
        <v>417</v>
      </c>
      <c r="E83">
        <v>650</v>
      </c>
      <c r="F83">
        <v>13</v>
      </c>
      <c r="G83">
        <v>500</v>
      </c>
      <c r="H83">
        <v>18</v>
      </c>
      <c r="I83">
        <f t="shared" si="2"/>
        <v>9</v>
      </c>
      <c r="J83" s="96">
        <f t="shared" si="3"/>
        <v>159.15494309189535</v>
      </c>
      <c r="K83" t="s">
        <v>418</v>
      </c>
      <c r="L83" t="s">
        <v>315</v>
      </c>
    </row>
    <row r="84" spans="1:12">
      <c r="A84">
        <v>3</v>
      </c>
      <c r="B84" t="s">
        <v>419</v>
      </c>
      <c r="C84" t="s">
        <v>372</v>
      </c>
      <c r="D84" s="130" t="s">
        <v>417</v>
      </c>
      <c r="E84" s="130">
        <v>650</v>
      </c>
      <c r="F84">
        <v>20</v>
      </c>
      <c r="G84">
        <v>565</v>
      </c>
      <c r="H84">
        <v>14</v>
      </c>
      <c r="I84">
        <f t="shared" si="2"/>
        <v>7</v>
      </c>
      <c r="J84" s="96">
        <f t="shared" si="3"/>
        <v>179.84508569384172</v>
      </c>
      <c r="L84" t="s">
        <v>322</v>
      </c>
    </row>
    <row r="85" spans="1:12">
      <c r="A85">
        <v>176</v>
      </c>
      <c r="B85" t="s">
        <v>420</v>
      </c>
      <c r="C85" t="s">
        <v>421</v>
      </c>
      <c r="D85" s="130">
        <v>175</v>
      </c>
      <c r="E85">
        <v>175</v>
      </c>
      <c r="F85">
        <v>24</v>
      </c>
      <c r="G85">
        <v>415</v>
      </c>
      <c r="H85">
        <v>23</v>
      </c>
      <c r="I85">
        <f t="shared" si="2"/>
        <v>11.5</v>
      </c>
      <c r="J85" s="96">
        <f t="shared" si="3"/>
        <v>132.09860276627313</v>
      </c>
      <c r="K85" t="s">
        <v>333</v>
      </c>
      <c r="L85" t="s">
        <v>315</v>
      </c>
    </row>
    <row r="86" spans="1:12">
      <c r="A86">
        <v>9</v>
      </c>
      <c r="B86" t="s">
        <v>422</v>
      </c>
      <c r="C86" t="s">
        <v>421</v>
      </c>
      <c r="D86" s="130">
        <v>180</v>
      </c>
      <c r="E86">
        <v>180</v>
      </c>
      <c r="F86">
        <v>25</v>
      </c>
      <c r="G86">
        <v>445</v>
      </c>
      <c r="H86">
        <v>10</v>
      </c>
      <c r="I86">
        <f t="shared" si="2"/>
        <v>5</v>
      </c>
      <c r="J86" s="96">
        <f t="shared" si="3"/>
        <v>141.64789935178686</v>
      </c>
      <c r="K86" t="s">
        <v>335</v>
      </c>
      <c r="L86" t="s">
        <v>315</v>
      </c>
    </row>
    <row r="87" spans="1:12">
      <c r="A87">
        <v>251</v>
      </c>
      <c r="B87" t="s">
        <v>423</v>
      </c>
      <c r="C87" t="s">
        <v>421</v>
      </c>
      <c r="D87" s="130" t="s">
        <v>323</v>
      </c>
      <c r="E87">
        <v>225</v>
      </c>
      <c r="F87">
        <v>38</v>
      </c>
      <c r="G87">
        <v>540</v>
      </c>
      <c r="H87">
        <v>17</v>
      </c>
      <c r="I87">
        <f t="shared" si="2"/>
        <v>8.5</v>
      </c>
      <c r="J87" s="96">
        <f t="shared" si="3"/>
        <v>171.88733853924697</v>
      </c>
      <c r="L87" t="s">
        <v>331</v>
      </c>
    </row>
    <row r="88" spans="1:12">
      <c r="A88">
        <v>17</v>
      </c>
      <c r="B88" t="s">
        <v>424</v>
      </c>
      <c r="C88" t="s">
        <v>421</v>
      </c>
      <c r="D88" s="130" t="s">
        <v>330</v>
      </c>
      <c r="E88">
        <v>250</v>
      </c>
      <c r="F88">
        <v>35</v>
      </c>
      <c r="G88">
        <v>410</v>
      </c>
      <c r="H88">
        <v>24</v>
      </c>
      <c r="I88">
        <f t="shared" si="2"/>
        <v>12</v>
      </c>
      <c r="J88" s="96">
        <f t="shared" si="3"/>
        <v>130.50705333535419</v>
      </c>
      <c r="L88" t="s">
        <v>331</v>
      </c>
    </row>
    <row r="89" spans="1:12">
      <c r="A89">
        <v>69</v>
      </c>
      <c r="B89" t="s">
        <v>425</v>
      </c>
      <c r="C89" t="s">
        <v>421</v>
      </c>
      <c r="D89" s="130" t="s">
        <v>330</v>
      </c>
      <c r="E89">
        <v>250</v>
      </c>
      <c r="F89">
        <v>40</v>
      </c>
      <c r="G89">
        <v>405</v>
      </c>
      <c r="H89">
        <v>25</v>
      </c>
      <c r="I89">
        <f t="shared" si="2"/>
        <v>12.5</v>
      </c>
      <c r="J89" s="96">
        <f t="shared" si="3"/>
        <v>128.91550390443524</v>
      </c>
      <c r="L89" t="s">
        <v>331</v>
      </c>
    </row>
    <row r="90" spans="1:12">
      <c r="A90">
        <v>228</v>
      </c>
      <c r="B90" t="s">
        <v>426</v>
      </c>
      <c r="C90" t="s">
        <v>421</v>
      </c>
      <c r="D90" s="130" t="s">
        <v>330</v>
      </c>
      <c r="E90">
        <v>250</v>
      </c>
      <c r="F90">
        <v>24</v>
      </c>
      <c r="G90">
        <v>440</v>
      </c>
      <c r="H90">
        <v>21</v>
      </c>
      <c r="I90">
        <f t="shared" si="2"/>
        <v>10.5</v>
      </c>
      <c r="J90" s="96">
        <f t="shared" si="3"/>
        <v>140.05634992086789</v>
      </c>
      <c r="L90" t="s">
        <v>331</v>
      </c>
    </row>
    <row r="91" spans="1:12">
      <c r="A91">
        <v>302</v>
      </c>
      <c r="B91" t="s">
        <v>427</v>
      </c>
      <c r="C91" t="s">
        <v>421</v>
      </c>
      <c r="D91" s="130" t="s">
        <v>330</v>
      </c>
      <c r="E91">
        <v>250</v>
      </c>
      <c r="F91">
        <v>28</v>
      </c>
      <c r="G91">
        <v>445</v>
      </c>
      <c r="H91">
        <v>22</v>
      </c>
      <c r="I91">
        <f t="shared" si="2"/>
        <v>11</v>
      </c>
      <c r="J91" s="96">
        <f t="shared" si="3"/>
        <v>141.64789935178686</v>
      </c>
      <c r="L91" t="s">
        <v>331</v>
      </c>
    </row>
    <row r="92" spans="1:12">
      <c r="A92">
        <v>240</v>
      </c>
      <c r="B92" t="s">
        <v>428</v>
      </c>
      <c r="C92" t="s">
        <v>421</v>
      </c>
      <c r="D92" s="130" t="s">
        <v>341</v>
      </c>
      <c r="E92">
        <v>275</v>
      </c>
      <c r="F92">
        <v>33</v>
      </c>
      <c r="G92">
        <v>570</v>
      </c>
      <c r="H92">
        <v>27</v>
      </c>
      <c r="I92">
        <f t="shared" si="2"/>
        <v>13.5</v>
      </c>
      <c r="J92" s="96">
        <f t="shared" si="3"/>
        <v>181.4366351247607</v>
      </c>
      <c r="L92" t="s">
        <v>331</v>
      </c>
    </row>
    <row r="93" spans="1:12">
      <c r="A93">
        <v>312</v>
      </c>
      <c r="B93" t="s">
        <v>429</v>
      </c>
      <c r="C93" t="s">
        <v>421</v>
      </c>
      <c r="D93" s="130" t="s">
        <v>341</v>
      </c>
      <c r="E93">
        <v>275</v>
      </c>
      <c r="F93">
        <v>28</v>
      </c>
      <c r="G93">
        <v>540</v>
      </c>
      <c r="H93">
        <v>20</v>
      </c>
      <c r="I93">
        <f t="shared" si="2"/>
        <v>10</v>
      </c>
      <c r="J93" s="96">
        <f t="shared" si="3"/>
        <v>171.88733853924697</v>
      </c>
      <c r="K93" t="s">
        <v>358</v>
      </c>
      <c r="L93" t="s">
        <v>331</v>
      </c>
    </row>
    <row r="94" spans="1:12">
      <c r="A94">
        <v>54</v>
      </c>
      <c r="B94" t="s">
        <v>430</v>
      </c>
      <c r="C94" t="s">
        <v>421</v>
      </c>
      <c r="D94" s="130" t="s">
        <v>347</v>
      </c>
      <c r="E94">
        <v>300</v>
      </c>
      <c r="F94">
        <v>32</v>
      </c>
      <c r="G94">
        <v>465</v>
      </c>
      <c r="H94">
        <v>18</v>
      </c>
      <c r="I94">
        <f t="shared" si="2"/>
        <v>9</v>
      </c>
      <c r="J94" s="96">
        <f t="shared" si="3"/>
        <v>148.01409707546267</v>
      </c>
      <c r="L94" t="s">
        <v>331</v>
      </c>
    </row>
    <row r="95" spans="1:12">
      <c r="A95">
        <v>83</v>
      </c>
      <c r="B95" t="s">
        <v>431</v>
      </c>
      <c r="C95" t="s">
        <v>421</v>
      </c>
      <c r="D95" s="130" t="s">
        <v>347</v>
      </c>
      <c r="E95">
        <v>300</v>
      </c>
      <c r="F95">
        <v>24</v>
      </c>
      <c r="G95">
        <v>450</v>
      </c>
      <c r="H95">
        <v>25</v>
      </c>
      <c r="I95">
        <f t="shared" si="2"/>
        <v>12.5</v>
      </c>
      <c r="J95" s="96">
        <f t="shared" si="3"/>
        <v>143.23944878270581</v>
      </c>
      <c r="K95" t="s">
        <v>358</v>
      </c>
      <c r="L95" t="s">
        <v>331</v>
      </c>
    </row>
    <row r="96" spans="1:12">
      <c r="A96">
        <v>137</v>
      </c>
      <c r="B96" t="s">
        <v>432</v>
      </c>
      <c r="C96" t="s">
        <v>421</v>
      </c>
      <c r="D96" s="130">
        <v>300</v>
      </c>
      <c r="E96">
        <v>300</v>
      </c>
      <c r="F96">
        <v>17</v>
      </c>
      <c r="G96">
        <v>435</v>
      </c>
      <c r="H96">
        <v>12</v>
      </c>
      <c r="I96">
        <f t="shared" si="2"/>
        <v>6</v>
      </c>
      <c r="J96" s="96">
        <f t="shared" si="3"/>
        <v>138.46480048994894</v>
      </c>
      <c r="L96" t="s">
        <v>331</v>
      </c>
    </row>
    <row r="97" spans="1:12">
      <c r="A97">
        <v>138</v>
      </c>
      <c r="B97" t="s">
        <v>432</v>
      </c>
      <c r="C97" t="s">
        <v>421</v>
      </c>
      <c r="D97" s="130">
        <v>300</v>
      </c>
      <c r="E97">
        <v>300</v>
      </c>
      <c r="F97">
        <v>20</v>
      </c>
      <c r="G97">
        <v>490</v>
      </c>
      <c r="H97">
        <v>10</v>
      </c>
      <c r="I97">
        <f t="shared" si="2"/>
        <v>5</v>
      </c>
      <c r="J97" s="96">
        <f t="shared" si="3"/>
        <v>155.97184423005743</v>
      </c>
      <c r="L97" t="s">
        <v>331</v>
      </c>
    </row>
    <row r="98" spans="1:12">
      <c r="A98">
        <v>139</v>
      </c>
      <c r="B98" t="s">
        <v>432</v>
      </c>
      <c r="C98" t="s">
        <v>421</v>
      </c>
      <c r="D98" s="130">
        <v>300</v>
      </c>
      <c r="E98">
        <v>300</v>
      </c>
      <c r="F98">
        <v>18</v>
      </c>
      <c r="G98">
        <v>425</v>
      </c>
      <c r="H98">
        <v>10</v>
      </c>
      <c r="I98">
        <f t="shared" si="2"/>
        <v>5</v>
      </c>
      <c r="J98" s="96">
        <f t="shared" si="3"/>
        <v>135.28170162811105</v>
      </c>
      <c r="L98" t="s">
        <v>331</v>
      </c>
    </row>
    <row r="99" spans="1:12">
      <c r="A99">
        <v>140</v>
      </c>
      <c r="B99" t="s">
        <v>432</v>
      </c>
      <c r="C99" t="s">
        <v>421</v>
      </c>
      <c r="D99" s="130">
        <v>300</v>
      </c>
      <c r="E99">
        <v>300</v>
      </c>
      <c r="F99">
        <v>18</v>
      </c>
      <c r="G99">
        <v>425</v>
      </c>
      <c r="H99">
        <v>12</v>
      </c>
      <c r="I99">
        <f t="shared" si="2"/>
        <v>6</v>
      </c>
      <c r="J99" s="96">
        <f t="shared" si="3"/>
        <v>135.28170162811105</v>
      </c>
      <c r="L99" t="s">
        <v>331</v>
      </c>
    </row>
    <row r="100" spans="1:12">
      <c r="A100">
        <v>188</v>
      </c>
      <c r="B100" t="s">
        <v>433</v>
      </c>
      <c r="C100" t="s">
        <v>421</v>
      </c>
      <c r="D100" s="130" t="s">
        <v>434</v>
      </c>
      <c r="E100">
        <v>300</v>
      </c>
      <c r="F100">
        <v>38</v>
      </c>
      <c r="G100">
        <v>460</v>
      </c>
      <c r="H100">
        <v>30</v>
      </c>
      <c r="I100">
        <f t="shared" si="2"/>
        <v>15</v>
      </c>
      <c r="J100" s="96">
        <f t="shared" si="3"/>
        <v>146.42254764454373</v>
      </c>
      <c r="L100" t="s">
        <v>331</v>
      </c>
    </row>
    <row r="101" spans="1:12">
      <c r="A101">
        <v>200</v>
      </c>
      <c r="B101" t="s">
        <v>435</v>
      </c>
      <c r="C101" t="s">
        <v>421</v>
      </c>
      <c r="D101" s="130" t="s">
        <v>347</v>
      </c>
      <c r="E101">
        <v>300</v>
      </c>
      <c r="F101">
        <v>30</v>
      </c>
      <c r="G101">
        <v>470</v>
      </c>
      <c r="H101">
        <v>15</v>
      </c>
      <c r="I101">
        <f t="shared" si="2"/>
        <v>7.5</v>
      </c>
      <c r="J101" s="96">
        <f t="shared" si="3"/>
        <v>149.60564650638162</v>
      </c>
      <c r="L101" t="s">
        <v>331</v>
      </c>
    </row>
    <row r="102" spans="1:12">
      <c r="A102">
        <v>200</v>
      </c>
      <c r="B102" t="s">
        <v>435</v>
      </c>
      <c r="C102" t="s">
        <v>421</v>
      </c>
      <c r="D102" s="130" t="s">
        <v>347</v>
      </c>
      <c r="E102">
        <v>300</v>
      </c>
      <c r="F102">
        <v>30</v>
      </c>
      <c r="G102">
        <v>465</v>
      </c>
      <c r="H102">
        <v>15</v>
      </c>
      <c r="I102">
        <f t="shared" si="2"/>
        <v>7.5</v>
      </c>
      <c r="J102" s="96">
        <f t="shared" si="3"/>
        <v>148.01409707546267</v>
      </c>
      <c r="L102" t="s">
        <v>331</v>
      </c>
    </row>
    <row r="103" spans="1:12">
      <c r="A103">
        <v>200</v>
      </c>
      <c r="B103" t="s">
        <v>435</v>
      </c>
      <c r="C103" t="s">
        <v>421</v>
      </c>
      <c r="D103" s="130" t="s">
        <v>347</v>
      </c>
      <c r="E103">
        <v>300</v>
      </c>
      <c r="F103">
        <v>30</v>
      </c>
      <c r="G103">
        <v>400</v>
      </c>
      <c r="H103">
        <v>15</v>
      </c>
      <c r="I103">
        <f t="shared" si="2"/>
        <v>7.5</v>
      </c>
      <c r="J103" s="96">
        <f t="shared" si="3"/>
        <v>127.32395447351627</v>
      </c>
      <c r="L103" t="s">
        <v>331</v>
      </c>
    </row>
    <row r="104" spans="1:12">
      <c r="A104">
        <v>200</v>
      </c>
      <c r="B104" t="s">
        <v>435</v>
      </c>
      <c r="C104" t="s">
        <v>421</v>
      </c>
      <c r="D104" s="130" t="s">
        <v>347</v>
      </c>
      <c r="E104">
        <v>300</v>
      </c>
      <c r="F104">
        <v>30</v>
      </c>
      <c r="G104">
        <v>400</v>
      </c>
      <c r="H104">
        <v>15</v>
      </c>
      <c r="I104">
        <f t="shared" si="2"/>
        <v>7.5</v>
      </c>
      <c r="J104" s="96">
        <f t="shared" si="3"/>
        <v>127.32395447351627</v>
      </c>
      <c r="L104" t="s">
        <v>331</v>
      </c>
    </row>
    <row r="105" spans="1:12">
      <c r="A105">
        <v>200</v>
      </c>
      <c r="B105" t="s">
        <v>435</v>
      </c>
      <c r="C105" t="s">
        <v>421</v>
      </c>
      <c r="D105" s="130" t="s">
        <v>347</v>
      </c>
      <c r="E105">
        <v>300</v>
      </c>
      <c r="F105">
        <v>30</v>
      </c>
      <c r="G105">
        <v>370</v>
      </c>
      <c r="H105">
        <v>15</v>
      </c>
      <c r="I105">
        <f t="shared" si="2"/>
        <v>7.5</v>
      </c>
      <c r="J105" s="96">
        <f t="shared" si="3"/>
        <v>117.77465788800255</v>
      </c>
      <c r="L105" t="s">
        <v>331</v>
      </c>
    </row>
    <row r="106" spans="1:12">
      <c r="A106">
        <v>213</v>
      </c>
      <c r="B106" t="s">
        <v>436</v>
      </c>
      <c r="C106" t="s">
        <v>421</v>
      </c>
      <c r="D106" s="130" t="s">
        <v>434</v>
      </c>
      <c r="E106">
        <v>300</v>
      </c>
      <c r="F106">
        <v>18</v>
      </c>
      <c r="G106">
        <v>430</v>
      </c>
      <c r="H106">
        <v>15</v>
      </c>
      <c r="I106">
        <f t="shared" si="2"/>
        <v>7.5</v>
      </c>
      <c r="J106" s="96">
        <f t="shared" si="3"/>
        <v>136.87325105903</v>
      </c>
      <c r="L106" t="s">
        <v>331</v>
      </c>
    </row>
    <row r="107" spans="1:12">
      <c r="A107">
        <v>247</v>
      </c>
      <c r="B107" t="s">
        <v>437</v>
      </c>
      <c r="C107" t="s">
        <v>421</v>
      </c>
      <c r="D107" s="130" t="s">
        <v>434</v>
      </c>
      <c r="E107">
        <v>300</v>
      </c>
      <c r="F107">
        <v>28</v>
      </c>
      <c r="G107">
        <v>430</v>
      </c>
      <c r="H107">
        <v>26</v>
      </c>
      <c r="I107">
        <f t="shared" si="2"/>
        <v>13</v>
      </c>
      <c r="J107" s="96">
        <f t="shared" si="3"/>
        <v>136.87325105903</v>
      </c>
      <c r="K107" t="s">
        <v>438</v>
      </c>
      <c r="L107" t="s">
        <v>331</v>
      </c>
    </row>
    <row r="108" spans="1:12">
      <c r="A108">
        <v>247</v>
      </c>
      <c r="B108" t="s">
        <v>437</v>
      </c>
      <c r="C108" t="s">
        <v>421</v>
      </c>
      <c r="D108" s="130" t="s">
        <v>434</v>
      </c>
      <c r="E108">
        <v>300</v>
      </c>
      <c r="F108">
        <v>28</v>
      </c>
      <c r="G108">
        <v>495</v>
      </c>
      <c r="H108">
        <v>26</v>
      </c>
      <c r="I108">
        <f t="shared" si="2"/>
        <v>13</v>
      </c>
      <c r="J108" s="96">
        <f t="shared" si="3"/>
        <v>157.5633936609764</v>
      </c>
      <c r="K108" t="s">
        <v>438</v>
      </c>
      <c r="L108" t="s">
        <v>331</v>
      </c>
    </row>
    <row r="109" spans="1:12">
      <c r="A109">
        <v>275</v>
      </c>
      <c r="B109" t="s">
        <v>439</v>
      </c>
      <c r="C109" t="s">
        <v>421</v>
      </c>
      <c r="D109" s="130" t="s">
        <v>434</v>
      </c>
      <c r="E109">
        <v>300</v>
      </c>
      <c r="F109">
        <v>30</v>
      </c>
      <c r="G109">
        <v>490</v>
      </c>
      <c r="H109">
        <v>24</v>
      </c>
      <c r="I109">
        <f t="shared" si="2"/>
        <v>12</v>
      </c>
      <c r="J109" s="96">
        <f t="shared" si="3"/>
        <v>155.97184423005743</v>
      </c>
      <c r="K109" t="s">
        <v>333</v>
      </c>
      <c r="L109" t="s">
        <v>331</v>
      </c>
    </row>
    <row r="110" spans="1:12">
      <c r="A110">
        <v>276</v>
      </c>
      <c r="B110" t="s">
        <v>440</v>
      </c>
      <c r="C110" t="s">
        <v>421</v>
      </c>
      <c r="D110" s="130" t="s">
        <v>347</v>
      </c>
      <c r="E110">
        <v>300</v>
      </c>
      <c r="F110">
        <v>31</v>
      </c>
      <c r="G110">
        <v>515</v>
      </c>
      <c r="H110">
        <v>22</v>
      </c>
      <c r="I110">
        <f t="shared" si="2"/>
        <v>11</v>
      </c>
      <c r="J110" s="96">
        <f t="shared" si="3"/>
        <v>163.92959138465221</v>
      </c>
      <c r="K110" t="s">
        <v>333</v>
      </c>
      <c r="L110" t="s">
        <v>331</v>
      </c>
    </row>
    <row r="111" spans="1:12">
      <c r="A111">
        <v>280</v>
      </c>
      <c r="B111" t="s">
        <v>441</v>
      </c>
      <c r="C111" t="s">
        <v>421</v>
      </c>
      <c r="D111" s="130" t="s">
        <v>347</v>
      </c>
      <c r="E111">
        <v>300</v>
      </c>
      <c r="F111">
        <v>16</v>
      </c>
      <c r="G111">
        <v>480</v>
      </c>
      <c r="H111">
        <v>16</v>
      </c>
      <c r="I111">
        <f t="shared" ref="I111:I174" si="4">H111/2</f>
        <v>8</v>
      </c>
      <c r="J111" s="96">
        <f t="shared" ref="J111:J174" si="5">G111/PI()</f>
        <v>152.78874536821954</v>
      </c>
      <c r="K111" t="s">
        <v>333</v>
      </c>
      <c r="L111" t="s">
        <v>331</v>
      </c>
    </row>
    <row r="112" spans="1:12">
      <c r="A112">
        <v>280</v>
      </c>
      <c r="B112" t="s">
        <v>441</v>
      </c>
      <c r="C112" t="s">
        <v>421</v>
      </c>
      <c r="D112" s="130" t="s">
        <v>347</v>
      </c>
      <c r="E112">
        <v>300</v>
      </c>
      <c r="F112">
        <v>17</v>
      </c>
      <c r="G112">
        <v>540</v>
      </c>
      <c r="H112">
        <v>16</v>
      </c>
      <c r="I112">
        <f t="shared" si="4"/>
        <v>8</v>
      </c>
      <c r="J112" s="96">
        <f t="shared" si="5"/>
        <v>171.88733853924697</v>
      </c>
      <c r="K112" t="s">
        <v>333</v>
      </c>
      <c r="L112" t="s">
        <v>331</v>
      </c>
    </row>
    <row r="113" spans="1:12">
      <c r="A113">
        <v>286</v>
      </c>
      <c r="B113" t="s">
        <v>442</v>
      </c>
      <c r="C113" t="s">
        <v>421</v>
      </c>
      <c r="D113" s="130" t="s">
        <v>347</v>
      </c>
      <c r="E113">
        <v>300</v>
      </c>
      <c r="F113">
        <v>23</v>
      </c>
      <c r="G113">
        <v>490</v>
      </c>
      <c r="H113">
        <v>25</v>
      </c>
      <c r="I113">
        <f t="shared" si="4"/>
        <v>12.5</v>
      </c>
      <c r="J113" s="96">
        <f t="shared" si="5"/>
        <v>155.97184423005743</v>
      </c>
      <c r="L113" t="s">
        <v>331</v>
      </c>
    </row>
    <row r="114" spans="1:12">
      <c r="A114">
        <v>293</v>
      </c>
      <c r="B114" t="s">
        <v>443</v>
      </c>
      <c r="C114" t="s">
        <v>421</v>
      </c>
      <c r="D114" s="130" t="s">
        <v>347</v>
      </c>
      <c r="E114">
        <v>300</v>
      </c>
      <c r="F114">
        <v>25</v>
      </c>
      <c r="G114">
        <v>475</v>
      </c>
      <c r="H114">
        <v>13</v>
      </c>
      <c r="I114">
        <f t="shared" si="4"/>
        <v>6.5</v>
      </c>
      <c r="J114" s="96">
        <f t="shared" si="5"/>
        <v>151.19719593730056</v>
      </c>
      <c r="L114" t="s">
        <v>331</v>
      </c>
    </row>
    <row r="115" spans="1:12">
      <c r="A115">
        <v>299</v>
      </c>
      <c r="B115" t="s">
        <v>444</v>
      </c>
      <c r="C115" t="s">
        <v>421</v>
      </c>
      <c r="D115" s="130" t="s">
        <v>347</v>
      </c>
      <c r="E115">
        <v>300</v>
      </c>
      <c r="F115">
        <v>30</v>
      </c>
      <c r="G115">
        <v>500</v>
      </c>
      <c r="H115">
        <v>22</v>
      </c>
      <c r="I115">
        <f t="shared" si="4"/>
        <v>11</v>
      </c>
      <c r="J115" s="96">
        <f t="shared" si="5"/>
        <v>159.15494309189535</v>
      </c>
      <c r="L115" t="s">
        <v>331</v>
      </c>
    </row>
    <row r="116" spans="1:12">
      <c r="A116">
        <v>318</v>
      </c>
      <c r="B116" t="s">
        <v>445</v>
      </c>
      <c r="C116" t="s">
        <v>421</v>
      </c>
      <c r="D116" s="130" t="s">
        <v>347</v>
      </c>
      <c r="E116">
        <v>300</v>
      </c>
      <c r="F116">
        <v>35</v>
      </c>
      <c r="G116">
        <v>500</v>
      </c>
      <c r="H116">
        <v>23</v>
      </c>
      <c r="I116">
        <f t="shared" si="4"/>
        <v>11.5</v>
      </c>
      <c r="J116" s="96">
        <f t="shared" si="5"/>
        <v>159.15494309189535</v>
      </c>
      <c r="K116" t="s">
        <v>333</v>
      </c>
      <c r="L116" t="s">
        <v>331</v>
      </c>
    </row>
    <row r="117" spans="1:12">
      <c r="A117">
        <v>131</v>
      </c>
      <c r="B117" t="s">
        <v>446</v>
      </c>
      <c r="C117" t="s">
        <v>421</v>
      </c>
      <c r="D117" s="130">
        <v>300</v>
      </c>
      <c r="E117">
        <v>300</v>
      </c>
      <c r="F117">
        <v>27</v>
      </c>
      <c r="G117">
        <v>470</v>
      </c>
      <c r="H117">
        <v>22</v>
      </c>
      <c r="I117">
        <f t="shared" si="4"/>
        <v>11</v>
      </c>
      <c r="J117" s="96">
        <f t="shared" si="5"/>
        <v>149.60564650638162</v>
      </c>
      <c r="L117" t="s">
        <v>315</v>
      </c>
    </row>
    <row r="118" spans="1:12">
      <c r="A118">
        <v>58</v>
      </c>
      <c r="B118" t="s">
        <v>447</v>
      </c>
      <c r="C118" t="s">
        <v>421</v>
      </c>
      <c r="D118" s="130">
        <v>300</v>
      </c>
      <c r="E118" s="130">
        <v>300</v>
      </c>
      <c r="F118">
        <v>20</v>
      </c>
      <c r="G118">
        <v>485</v>
      </c>
      <c r="H118">
        <v>28</v>
      </c>
      <c r="I118">
        <f t="shared" si="4"/>
        <v>14</v>
      </c>
      <c r="J118" s="96">
        <f t="shared" si="5"/>
        <v>154.38029479913848</v>
      </c>
      <c r="L118" t="s">
        <v>322</v>
      </c>
    </row>
    <row r="119" spans="1:12">
      <c r="A119">
        <v>66</v>
      </c>
      <c r="B119" t="s">
        <v>448</v>
      </c>
      <c r="C119" t="s">
        <v>421</v>
      </c>
      <c r="D119" s="130" t="s">
        <v>350</v>
      </c>
      <c r="E119">
        <v>325</v>
      </c>
      <c r="F119">
        <v>25</v>
      </c>
      <c r="G119">
        <v>480</v>
      </c>
      <c r="H119">
        <v>26</v>
      </c>
      <c r="I119">
        <f t="shared" si="4"/>
        <v>13</v>
      </c>
      <c r="J119" s="96">
        <f t="shared" si="5"/>
        <v>152.78874536821954</v>
      </c>
      <c r="L119" t="s">
        <v>331</v>
      </c>
    </row>
    <row r="120" spans="1:12">
      <c r="A120">
        <v>67</v>
      </c>
      <c r="B120" t="s">
        <v>449</v>
      </c>
      <c r="C120" t="s">
        <v>421</v>
      </c>
      <c r="D120" s="130" t="s">
        <v>350</v>
      </c>
      <c r="E120">
        <v>325</v>
      </c>
      <c r="F120">
        <v>23</v>
      </c>
      <c r="G120">
        <v>465</v>
      </c>
      <c r="H120">
        <v>20</v>
      </c>
      <c r="I120">
        <f t="shared" si="4"/>
        <v>10</v>
      </c>
      <c r="J120" s="96">
        <f t="shared" si="5"/>
        <v>148.01409707546267</v>
      </c>
      <c r="L120" t="s">
        <v>331</v>
      </c>
    </row>
    <row r="121" spans="1:12">
      <c r="A121">
        <v>117</v>
      </c>
      <c r="B121" t="s">
        <v>450</v>
      </c>
      <c r="C121" t="s">
        <v>421</v>
      </c>
      <c r="D121" s="130" t="s">
        <v>350</v>
      </c>
      <c r="E121">
        <v>325</v>
      </c>
      <c r="F121">
        <v>29</v>
      </c>
      <c r="G121">
        <v>480</v>
      </c>
      <c r="H121">
        <v>15</v>
      </c>
      <c r="I121">
        <f t="shared" si="4"/>
        <v>7.5</v>
      </c>
      <c r="J121" s="96">
        <f t="shared" si="5"/>
        <v>152.78874536821954</v>
      </c>
      <c r="L121" t="s">
        <v>331</v>
      </c>
    </row>
    <row r="122" spans="1:12">
      <c r="A122">
        <v>124</v>
      </c>
      <c r="B122" t="s">
        <v>451</v>
      </c>
      <c r="C122" t="s">
        <v>421</v>
      </c>
      <c r="D122" s="130" t="s">
        <v>350</v>
      </c>
      <c r="E122">
        <v>325</v>
      </c>
      <c r="F122">
        <v>26</v>
      </c>
      <c r="G122">
        <v>470</v>
      </c>
      <c r="H122">
        <v>18</v>
      </c>
      <c r="I122">
        <f t="shared" si="4"/>
        <v>9</v>
      </c>
      <c r="J122" s="96">
        <f t="shared" si="5"/>
        <v>149.60564650638162</v>
      </c>
      <c r="L122" t="s">
        <v>331</v>
      </c>
    </row>
    <row r="123" spans="1:12">
      <c r="A123">
        <v>127</v>
      </c>
      <c r="B123" t="s">
        <v>402</v>
      </c>
      <c r="C123" t="s">
        <v>421</v>
      </c>
      <c r="D123" s="130" t="s">
        <v>350</v>
      </c>
      <c r="E123">
        <v>325</v>
      </c>
      <c r="F123">
        <v>32</v>
      </c>
      <c r="G123">
        <v>470</v>
      </c>
      <c r="H123">
        <v>10</v>
      </c>
      <c r="I123">
        <f t="shared" si="4"/>
        <v>5</v>
      </c>
      <c r="J123" s="96">
        <f t="shared" si="5"/>
        <v>149.60564650638162</v>
      </c>
      <c r="L123" t="s">
        <v>331</v>
      </c>
    </row>
    <row r="124" spans="1:12">
      <c r="A124">
        <v>139</v>
      </c>
      <c r="B124" t="s">
        <v>452</v>
      </c>
      <c r="C124" t="s">
        <v>421</v>
      </c>
      <c r="D124" s="130" t="s">
        <v>350</v>
      </c>
      <c r="E124">
        <v>325</v>
      </c>
      <c r="F124">
        <v>27</v>
      </c>
      <c r="G124">
        <v>490</v>
      </c>
      <c r="H124">
        <v>30</v>
      </c>
      <c r="I124">
        <f t="shared" si="4"/>
        <v>15</v>
      </c>
      <c r="J124" s="96">
        <f t="shared" si="5"/>
        <v>155.97184423005743</v>
      </c>
      <c r="L124" t="s">
        <v>331</v>
      </c>
    </row>
    <row r="125" spans="1:12">
      <c r="A125">
        <v>155</v>
      </c>
      <c r="B125" t="s">
        <v>453</v>
      </c>
      <c r="C125" t="s">
        <v>421</v>
      </c>
      <c r="D125" s="130" t="s">
        <v>350</v>
      </c>
      <c r="E125">
        <v>325</v>
      </c>
      <c r="F125">
        <v>29</v>
      </c>
      <c r="G125">
        <v>490</v>
      </c>
      <c r="H125">
        <v>24</v>
      </c>
      <c r="I125">
        <f t="shared" si="4"/>
        <v>12</v>
      </c>
      <c r="J125" s="96">
        <f t="shared" si="5"/>
        <v>155.97184423005743</v>
      </c>
      <c r="L125" t="s">
        <v>331</v>
      </c>
    </row>
    <row r="126" spans="1:12">
      <c r="A126">
        <v>223</v>
      </c>
      <c r="B126" t="s">
        <v>454</v>
      </c>
      <c r="C126" t="s">
        <v>421</v>
      </c>
      <c r="D126" s="130" t="s">
        <v>350</v>
      </c>
      <c r="E126">
        <v>325</v>
      </c>
      <c r="F126">
        <v>24</v>
      </c>
      <c r="G126">
        <v>555</v>
      </c>
      <c r="H126">
        <v>22</v>
      </c>
      <c r="I126">
        <f t="shared" si="4"/>
        <v>11</v>
      </c>
      <c r="J126" s="96">
        <f t="shared" si="5"/>
        <v>176.66198683200383</v>
      </c>
      <c r="L126" t="s">
        <v>331</v>
      </c>
    </row>
    <row r="127" spans="1:12">
      <c r="A127">
        <v>239</v>
      </c>
      <c r="B127" t="s">
        <v>455</v>
      </c>
      <c r="C127" t="s">
        <v>421</v>
      </c>
      <c r="D127" s="130" t="s">
        <v>350</v>
      </c>
      <c r="E127">
        <v>325</v>
      </c>
      <c r="F127">
        <v>24</v>
      </c>
      <c r="G127">
        <v>480</v>
      </c>
      <c r="H127">
        <v>20</v>
      </c>
      <c r="I127">
        <f t="shared" si="4"/>
        <v>10</v>
      </c>
      <c r="J127" s="96">
        <f t="shared" si="5"/>
        <v>152.78874536821954</v>
      </c>
      <c r="L127" t="s">
        <v>331</v>
      </c>
    </row>
    <row r="128" spans="1:12">
      <c r="A128">
        <v>258</v>
      </c>
      <c r="B128" t="s">
        <v>456</v>
      </c>
      <c r="C128" t="s">
        <v>421</v>
      </c>
      <c r="D128" s="130" t="s">
        <v>350</v>
      </c>
      <c r="E128">
        <v>325</v>
      </c>
      <c r="F128">
        <v>29</v>
      </c>
      <c r="G128">
        <v>590</v>
      </c>
      <c r="H128">
        <v>32</v>
      </c>
      <c r="I128">
        <f t="shared" si="4"/>
        <v>16</v>
      </c>
      <c r="J128" s="96">
        <f t="shared" si="5"/>
        <v>187.80283284843651</v>
      </c>
      <c r="L128" t="s">
        <v>331</v>
      </c>
    </row>
    <row r="129" spans="1:12">
      <c r="A129">
        <v>15</v>
      </c>
      <c r="B129" t="s">
        <v>457</v>
      </c>
      <c r="C129" t="s">
        <v>421</v>
      </c>
      <c r="D129" s="130" t="s">
        <v>382</v>
      </c>
      <c r="E129">
        <v>350</v>
      </c>
      <c r="F129">
        <v>29</v>
      </c>
      <c r="G129">
        <v>545</v>
      </c>
      <c r="H129">
        <v>20</v>
      </c>
      <c r="I129">
        <f t="shared" si="4"/>
        <v>10</v>
      </c>
      <c r="J129" s="96">
        <f t="shared" si="5"/>
        <v>173.47888797016591</v>
      </c>
      <c r="L129" t="s">
        <v>331</v>
      </c>
    </row>
    <row r="130" spans="1:12">
      <c r="A130">
        <v>34</v>
      </c>
      <c r="B130" t="s">
        <v>458</v>
      </c>
      <c r="C130" t="s">
        <v>421</v>
      </c>
      <c r="D130" s="130" t="s">
        <v>382</v>
      </c>
      <c r="E130">
        <v>350</v>
      </c>
      <c r="F130">
        <v>29</v>
      </c>
      <c r="G130">
        <v>430</v>
      </c>
      <c r="H130">
        <v>15</v>
      </c>
      <c r="I130">
        <f t="shared" si="4"/>
        <v>7.5</v>
      </c>
      <c r="J130" s="96">
        <f t="shared" si="5"/>
        <v>136.87325105903</v>
      </c>
      <c r="L130" t="s">
        <v>331</v>
      </c>
    </row>
    <row r="131" spans="1:12">
      <c r="A131">
        <v>49</v>
      </c>
      <c r="B131" t="s">
        <v>459</v>
      </c>
      <c r="C131" t="s">
        <v>421</v>
      </c>
      <c r="D131" s="130" t="s">
        <v>382</v>
      </c>
      <c r="E131">
        <v>350</v>
      </c>
      <c r="F131">
        <v>20</v>
      </c>
      <c r="G131">
        <v>490</v>
      </c>
      <c r="H131">
        <v>12</v>
      </c>
      <c r="I131">
        <f t="shared" si="4"/>
        <v>6</v>
      </c>
      <c r="J131" s="96">
        <f t="shared" si="5"/>
        <v>155.97184423005743</v>
      </c>
      <c r="L131" t="s">
        <v>331</v>
      </c>
    </row>
    <row r="132" spans="1:12">
      <c r="A132">
        <v>63</v>
      </c>
      <c r="B132" t="s">
        <v>457</v>
      </c>
      <c r="C132" t="s">
        <v>421</v>
      </c>
      <c r="D132" s="130" t="s">
        <v>382</v>
      </c>
      <c r="E132">
        <v>350</v>
      </c>
      <c r="F132">
        <v>28</v>
      </c>
      <c r="G132">
        <v>495</v>
      </c>
      <c r="H132">
        <v>23</v>
      </c>
      <c r="I132">
        <f t="shared" si="4"/>
        <v>11.5</v>
      </c>
      <c r="J132" s="96">
        <f t="shared" si="5"/>
        <v>157.5633936609764</v>
      </c>
      <c r="L132" t="s">
        <v>331</v>
      </c>
    </row>
    <row r="133" spans="1:12">
      <c r="A133">
        <v>64</v>
      </c>
      <c r="B133" t="s">
        <v>460</v>
      </c>
      <c r="C133" t="s">
        <v>421</v>
      </c>
      <c r="D133" s="130" t="s">
        <v>382</v>
      </c>
      <c r="E133">
        <v>350</v>
      </c>
      <c r="F133">
        <v>26</v>
      </c>
      <c r="G133">
        <v>500</v>
      </c>
      <c r="H133">
        <v>20</v>
      </c>
      <c r="I133">
        <f t="shared" si="4"/>
        <v>10</v>
      </c>
      <c r="J133" s="96">
        <f t="shared" si="5"/>
        <v>159.15494309189535</v>
      </c>
      <c r="L133" t="s">
        <v>331</v>
      </c>
    </row>
    <row r="134" spans="1:12">
      <c r="A134">
        <v>72</v>
      </c>
      <c r="B134" t="s">
        <v>461</v>
      </c>
      <c r="C134" t="s">
        <v>421</v>
      </c>
      <c r="D134" s="130" t="s">
        <v>382</v>
      </c>
      <c r="E134">
        <v>350</v>
      </c>
      <c r="F134">
        <v>26</v>
      </c>
      <c r="G134">
        <v>560</v>
      </c>
      <c r="H134">
        <v>23</v>
      </c>
      <c r="I134">
        <f t="shared" si="4"/>
        <v>11.5</v>
      </c>
      <c r="J134" s="96">
        <f t="shared" si="5"/>
        <v>178.25353626292278</v>
      </c>
      <c r="L134" t="s">
        <v>331</v>
      </c>
    </row>
    <row r="135" spans="1:12">
      <c r="A135">
        <v>77</v>
      </c>
      <c r="B135" t="s">
        <v>462</v>
      </c>
      <c r="C135" t="s">
        <v>421</v>
      </c>
      <c r="D135" s="130" t="s">
        <v>382</v>
      </c>
      <c r="E135">
        <v>350</v>
      </c>
      <c r="F135">
        <v>23</v>
      </c>
      <c r="G135">
        <v>500</v>
      </c>
      <c r="H135">
        <v>23</v>
      </c>
      <c r="I135">
        <f t="shared" si="4"/>
        <v>11.5</v>
      </c>
      <c r="J135" s="96">
        <f t="shared" si="5"/>
        <v>159.15494309189535</v>
      </c>
      <c r="L135" t="s">
        <v>331</v>
      </c>
    </row>
    <row r="136" spans="1:12">
      <c r="A136">
        <v>87</v>
      </c>
      <c r="B136" t="s">
        <v>463</v>
      </c>
      <c r="C136" t="s">
        <v>421</v>
      </c>
      <c r="D136" s="130" t="s">
        <v>382</v>
      </c>
      <c r="E136">
        <v>350</v>
      </c>
      <c r="F136">
        <v>24</v>
      </c>
      <c r="G136">
        <v>580</v>
      </c>
      <c r="H136">
        <v>20</v>
      </c>
      <c r="I136">
        <f t="shared" si="4"/>
        <v>10</v>
      </c>
      <c r="J136" s="96">
        <f t="shared" si="5"/>
        <v>184.61973398659859</v>
      </c>
      <c r="L136" t="s">
        <v>331</v>
      </c>
    </row>
    <row r="137" spans="1:12">
      <c r="A137">
        <v>94</v>
      </c>
      <c r="B137" t="s">
        <v>464</v>
      </c>
      <c r="C137" t="s">
        <v>421</v>
      </c>
      <c r="D137" s="130" t="s">
        <v>382</v>
      </c>
      <c r="E137">
        <v>350</v>
      </c>
      <c r="F137">
        <v>17</v>
      </c>
      <c r="G137">
        <v>465</v>
      </c>
      <c r="H137">
        <v>24</v>
      </c>
      <c r="I137">
        <f t="shared" si="4"/>
        <v>12</v>
      </c>
      <c r="J137" s="96">
        <f t="shared" si="5"/>
        <v>148.01409707546267</v>
      </c>
      <c r="L137" t="s">
        <v>331</v>
      </c>
    </row>
    <row r="138" spans="1:12">
      <c r="A138">
        <v>98</v>
      </c>
      <c r="B138" t="s">
        <v>465</v>
      </c>
      <c r="C138" t="s">
        <v>421</v>
      </c>
      <c r="D138" s="130" t="s">
        <v>382</v>
      </c>
      <c r="E138">
        <v>350</v>
      </c>
      <c r="F138">
        <v>35</v>
      </c>
      <c r="G138">
        <v>490</v>
      </c>
      <c r="H138">
        <v>17</v>
      </c>
      <c r="I138">
        <f t="shared" si="4"/>
        <v>8.5</v>
      </c>
      <c r="J138" s="96">
        <f t="shared" si="5"/>
        <v>155.97184423005743</v>
      </c>
      <c r="L138" t="s">
        <v>331</v>
      </c>
    </row>
    <row r="139" spans="1:12">
      <c r="A139">
        <v>123</v>
      </c>
      <c r="B139" t="s">
        <v>466</v>
      </c>
      <c r="C139" t="s">
        <v>421</v>
      </c>
      <c r="D139" s="130" t="s">
        <v>382</v>
      </c>
      <c r="E139">
        <v>350</v>
      </c>
      <c r="F139">
        <v>28</v>
      </c>
      <c r="G139">
        <v>480</v>
      </c>
      <c r="H139">
        <v>17</v>
      </c>
      <c r="I139">
        <f t="shared" si="4"/>
        <v>8.5</v>
      </c>
      <c r="J139" s="96">
        <f t="shared" si="5"/>
        <v>152.78874536821954</v>
      </c>
      <c r="L139" t="s">
        <v>331</v>
      </c>
    </row>
    <row r="140" spans="1:12">
      <c r="A140">
        <v>141</v>
      </c>
      <c r="B140" t="s">
        <v>467</v>
      </c>
      <c r="C140" t="s">
        <v>421</v>
      </c>
      <c r="D140" s="130" t="s">
        <v>382</v>
      </c>
      <c r="E140">
        <v>350</v>
      </c>
      <c r="F140">
        <v>31</v>
      </c>
      <c r="G140">
        <v>540</v>
      </c>
      <c r="H140">
        <v>28</v>
      </c>
      <c r="I140">
        <f t="shared" si="4"/>
        <v>14</v>
      </c>
      <c r="J140" s="96">
        <f t="shared" si="5"/>
        <v>171.88733853924697</v>
      </c>
      <c r="L140" t="s">
        <v>331</v>
      </c>
    </row>
    <row r="141" spans="1:12">
      <c r="A141">
        <v>145</v>
      </c>
      <c r="B141" t="s">
        <v>468</v>
      </c>
      <c r="C141" t="s">
        <v>421</v>
      </c>
      <c r="D141" s="130" t="s">
        <v>382</v>
      </c>
      <c r="E141">
        <v>350</v>
      </c>
      <c r="F141">
        <v>23</v>
      </c>
      <c r="G141">
        <v>470</v>
      </c>
      <c r="H141">
        <v>27</v>
      </c>
      <c r="I141">
        <f t="shared" si="4"/>
        <v>13.5</v>
      </c>
      <c r="J141" s="96">
        <f t="shared" si="5"/>
        <v>149.60564650638162</v>
      </c>
      <c r="L141" t="s">
        <v>331</v>
      </c>
    </row>
    <row r="142" spans="1:12">
      <c r="A142">
        <v>170</v>
      </c>
      <c r="B142" t="s">
        <v>469</v>
      </c>
      <c r="C142" t="s">
        <v>421</v>
      </c>
      <c r="D142" s="130" t="s">
        <v>382</v>
      </c>
      <c r="E142">
        <v>350</v>
      </c>
      <c r="F142">
        <v>29</v>
      </c>
      <c r="G142">
        <v>610</v>
      </c>
      <c r="H142">
        <v>28</v>
      </c>
      <c r="I142">
        <f t="shared" si="4"/>
        <v>14</v>
      </c>
      <c r="J142" s="96">
        <f t="shared" si="5"/>
        <v>194.16903057211232</v>
      </c>
      <c r="L142" t="s">
        <v>331</v>
      </c>
    </row>
    <row r="143" spans="1:12">
      <c r="A143">
        <v>171</v>
      </c>
      <c r="B143" t="s">
        <v>470</v>
      </c>
      <c r="C143" t="s">
        <v>421</v>
      </c>
      <c r="D143" s="130" t="s">
        <v>80</v>
      </c>
      <c r="E143">
        <v>350</v>
      </c>
      <c r="F143">
        <v>29</v>
      </c>
      <c r="G143">
        <v>540</v>
      </c>
      <c r="H143">
        <v>25</v>
      </c>
      <c r="I143">
        <f t="shared" si="4"/>
        <v>12.5</v>
      </c>
      <c r="J143" s="96">
        <f t="shared" si="5"/>
        <v>171.88733853924697</v>
      </c>
      <c r="L143" t="s">
        <v>331</v>
      </c>
    </row>
    <row r="144" spans="1:12">
      <c r="A144">
        <v>181</v>
      </c>
      <c r="B144" t="s">
        <v>471</v>
      </c>
      <c r="C144" t="s">
        <v>421</v>
      </c>
      <c r="D144" s="130" t="s">
        <v>382</v>
      </c>
      <c r="E144">
        <v>350</v>
      </c>
      <c r="F144">
        <v>22</v>
      </c>
      <c r="G144">
        <v>450</v>
      </c>
      <c r="H144">
        <v>16</v>
      </c>
      <c r="I144">
        <f t="shared" si="4"/>
        <v>8</v>
      </c>
      <c r="J144" s="96">
        <f t="shared" si="5"/>
        <v>143.23944878270581</v>
      </c>
      <c r="L144" t="s">
        <v>331</v>
      </c>
    </row>
    <row r="145" spans="1:12">
      <c r="A145">
        <v>183</v>
      </c>
      <c r="B145" t="s">
        <v>471</v>
      </c>
      <c r="C145" t="s">
        <v>421</v>
      </c>
      <c r="D145" s="130" t="s">
        <v>382</v>
      </c>
      <c r="E145">
        <v>350</v>
      </c>
      <c r="F145">
        <v>30</v>
      </c>
      <c r="G145">
        <v>520</v>
      </c>
      <c r="H145">
        <v>17</v>
      </c>
      <c r="I145">
        <f t="shared" si="4"/>
        <v>8.5</v>
      </c>
      <c r="J145" s="96">
        <f t="shared" si="5"/>
        <v>165.52114081557116</v>
      </c>
      <c r="L145" t="s">
        <v>331</v>
      </c>
    </row>
    <row r="146" spans="1:12">
      <c r="A146">
        <v>185</v>
      </c>
      <c r="B146" t="s">
        <v>472</v>
      </c>
      <c r="C146" t="s">
        <v>421</v>
      </c>
      <c r="D146" s="130">
        <v>350</v>
      </c>
      <c r="E146">
        <v>350</v>
      </c>
      <c r="F146">
        <v>23</v>
      </c>
      <c r="G146">
        <v>470</v>
      </c>
      <c r="H146">
        <v>25</v>
      </c>
      <c r="I146">
        <f t="shared" si="4"/>
        <v>12.5</v>
      </c>
      <c r="J146" s="96">
        <f t="shared" si="5"/>
        <v>149.60564650638162</v>
      </c>
      <c r="L146" t="s">
        <v>331</v>
      </c>
    </row>
    <row r="147" spans="1:12">
      <c r="A147">
        <v>187</v>
      </c>
      <c r="B147" t="s">
        <v>472</v>
      </c>
      <c r="C147" t="s">
        <v>421</v>
      </c>
      <c r="D147" s="130" t="s">
        <v>382</v>
      </c>
      <c r="E147">
        <v>350</v>
      </c>
      <c r="F147">
        <v>26</v>
      </c>
      <c r="G147">
        <v>495</v>
      </c>
      <c r="H147">
        <v>19</v>
      </c>
      <c r="I147">
        <f t="shared" si="4"/>
        <v>9.5</v>
      </c>
      <c r="J147" s="96">
        <f t="shared" si="5"/>
        <v>157.5633936609764</v>
      </c>
      <c r="L147" t="s">
        <v>331</v>
      </c>
    </row>
    <row r="148" spans="1:12">
      <c r="A148">
        <v>193</v>
      </c>
      <c r="B148" t="s">
        <v>473</v>
      </c>
      <c r="C148" t="s">
        <v>421</v>
      </c>
      <c r="D148" s="130" t="s">
        <v>382</v>
      </c>
      <c r="E148">
        <v>350</v>
      </c>
      <c r="F148">
        <v>28</v>
      </c>
      <c r="G148">
        <v>560</v>
      </c>
      <c r="H148">
        <v>25</v>
      </c>
      <c r="I148">
        <f t="shared" si="4"/>
        <v>12.5</v>
      </c>
      <c r="J148" s="96">
        <f t="shared" si="5"/>
        <v>178.25353626292278</v>
      </c>
      <c r="L148" t="s">
        <v>331</v>
      </c>
    </row>
    <row r="149" spans="1:12">
      <c r="A149">
        <v>198</v>
      </c>
      <c r="B149" t="s">
        <v>474</v>
      </c>
      <c r="C149" t="s">
        <v>421</v>
      </c>
      <c r="D149" s="130" t="s">
        <v>382</v>
      </c>
      <c r="E149">
        <v>350</v>
      </c>
      <c r="F149">
        <v>17</v>
      </c>
      <c r="G149">
        <v>520</v>
      </c>
      <c r="H149">
        <v>18</v>
      </c>
      <c r="I149">
        <f t="shared" si="4"/>
        <v>9</v>
      </c>
      <c r="J149" s="96">
        <f t="shared" si="5"/>
        <v>165.52114081557116</v>
      </c>
      <c r="L149" t="s">
        <v>331</v>
      </c>
    </row>
    <row r="150" spans="1:12">
      <c r="A150">
        <v>199</v>
      </c>
      <c r="B150" t="s">
        <v>475</v>
      </c>
      <c r="C150" t="s">
        <v>421</v>
      </c>
      <c r="D150" s="130" t="s">
        <v>382</v>
      </c>
      <c r="E150">
        <v>350</v>
      </c>
      <c r="F150">
        <v>26</v>
      </c>
      <c r="G150">
        <v>540</v>
      </c>
      <c r="H150">
        <v>24</v>
      </c>
      <c r="I150">
        <f t="shared" si="4"/>
        <v>12</v>
      </c>
      <c r="J150" s="96">
        <f t="shared" si="5"/>
        <v>171.88733853924697</v>
      </c>
      <c r="L150" t="s">
        <v>331</v>
      </c>
    </row>
    <row r="151" spans="1:12">
      <c r="A151">
        <v>201</v>
      </c>
      <c r="B151" t="s">
        <v>476</v>
      </c>
      <c r="C151" t="s">
        <v>421</v>
      </c>
      <c r="D151" s="130" t="s">
        <v>382</v>
      </c>
      <c r="E151">
        <v>350</v>
      </c>
      <c r="F151">
        <v>25</v>
      </c>
      <c r="G151">
        <v>515</v>
      </c>
      <c r="H151">
        <v>16</v>
      </c>
      <c r="I151">
        <f t="shared" si="4"/>
        <v>8</v>
      </c>
      <c r="J151" s="96">
        <f t="shared" si="5"/>
        <v>163.92959138465221</v>
      </c>
      <c r="L151" t="s">
        <v>331</v>
      </c>
    </row>
    <row r="152" spans="1:12">
      <c r="A152">
        <v>201</v>
      </c>
      <c r="B152" t="s">
        <v>476</v>
      </c>
      <c r="C152" t="s">
        <v>421</v>
      </c>
      <c r="D152" s="130" t="s">
        <v>382</v>
      </c>
      <c r="E152">
        <v>350</v>
      </c>
      <c r="F152">
        <v>24</v>
      </c>
      <c r="G152">
        <v>465</v>
      </c>
      <c r="H152">
        <v>15</v>
      </c>
      <c r="I152">
        <f t="shared" si="4"/>
        <v>7.5</v>
      </c>
      <c r="J152" s="96">
        <f t="shared" si="5"/>
        <v>148.01409707546267</v>
      </c>
      <c r="L152" t="s">
        <v>331</v>
      </c>
    </row>
    <row r="153" spans="1:12">
      <c r="A153">
        <v>202</v>
      </c>
      <c r="B153" t="s">
        <v>476</v>
      </c>
      <c r="C153" t="s">
        <v>421</v>
      </c>
      <c r="D153" s="130" t="s">
        <v>382</v>
      </c>
      <c r="E153">
        <v>350</v>
      </c>
      <c r="F153">
        <v>18</v>
      </c>
      <c r="G153">
        <v>495</v>
      </c>
      <c r="H153">
        <v>12</v>
      </c>
      <c r="I153">
        <f t="shared" si="4"/>
        <v>6</v>
      </c>
      <c r="J153" s="96">
        <f t="shared" si="5"/>
        <v>157.5633936609764</v>
      </c>
      <c r="L153" t="s">
        <v>331</v>
      </c>
    </row>
    <row r="154" spans="1:12">
      <c r="A154">
        <v>203</v>
      </c>
      <c r="B154" t="s">
        <v>477</v>
      </c>
      <c r="C154" t="s">
        <v>421</v>
      </c>
      <c r="D154" s="130" t="s">
        <v>382</v>
      </c>
      <c r="E154">
        <v>350</v>
      </c>
      <c r="F154">
        <v>27</v>
      </c>
      <c r="G154">
        <v>515</v>
      </c>
      <c r="H154">
        <v>18</v>
      </c>
      <c r="I154">
        <f t="shared" si="4"/>
        <v>9</v>
      </c>
      <c r="J154" s="96">
        <f t="shared" si="5"/>
        <v>163.92959138465221</v>
      </c>
      <c r="L154" t="s">
        <v>331</v>
      </c>
    </row>
    <row r="155" spans="1:12">
      <c r="A155">
        <v>205</v>
      </c>
      <c r="B155" t="s">
        <v>478</v>
      </c>
      <c r="C155" t="s">
        <v>421</v>
      </c>
      <c r="D155" s="130" t="s">
        <v>80</v>
      </c>
      <c r="E155">
        <v>350</v>
      </c>
      <c r="F155">
        <v>25</v>
      </c>
      <c r="G155">
        <v>560</v>
      </c>
      <c r="H155">
        <v>22</v>
      </c>
      <c r="I155">
        <f t="shared" si="4"/>
        <v>11</v>
      </c>
      <c r="J155" s="96">
        <f t="shared" si="5"/>
        <v>178.25353626292278</v>
      </c>
      <c r="L155" t="s">
        <v>331</v>
      </c>
    </row>
    <row r="156" spans="1:12">
      <c r="A156">
        <v>211</v>
      </c>
      <c r="B156" t="s">
        <v>479</v>
      </c>
      <c r="C156" t="s">
        <v>421</v>
      </c>
      <c r="D156" s="130" t="s">
        <v>382</v>
      </c>
      <c r="E156">
        <v>350</v>
      </c>
      <c r="F156">
        <v>20</v>
      </c>
      <c r="G156">
        <v>560</v>
      </c>
      <c r="H156">
        <v>22</v>
      </c>
      <c r="I156">
        <f t="shared" si="4"/>
        <v>11</v>
      </c>
      <c r="J156" s="96">
        <f t="shared" si="5"/>
        <v>178.25353626292278</v>
      </c>
      <c r="L156" t="s">
        <v>331</v>
      </c>
    </row>
    <row r="157" spans="1:12">
      <c r="A157">
        <v>219</v>
      </c>
      <c r="B157" t="s">
        <v>480</v>
      </c>
      <c r="C157" t="s">
        <v>421</v>
      </c>
      <c r="D157" s="130" t="s">
        <v>382</v>
      </c>
      <c r="E157">
        <v>350</v>
      </c>
      <c r="F157">
        <v>26</v>
      </c>
      <c r="G157">
        <v>505</v>
      </c>
      <c r="H157">
        <v>23</v>
      </c>
      <c r="I157">
        <f t="shared" si="4"/>
        <v>11.5</v>
      </c>
      <c r="J157" s="96">
        <f t="shared" si="5"/>
        <v>160.74649252281429</v>
      </c>
      <c r="L157" t="s">
        <v>331</v>
      </c>
    </row>
    <row r="158" spans="1:12">
      <c r="A158">
        <v>231</v>
      </c>
      <c r="B158" t="s">
        <v>481</v>
      </c>
      <c r="C158" t="s">
        <v>421</v>
      </c>
      <c r="D158" s="130" t="s">
        <v>382</v>
      </c>
      <c r="E158">
        <v>350</v>
      </c>
      <c r="F158">
        <v>29</v>
      </c>
      <c r="G158">
        <v>680</v>
      </c>
      <c r="H158">
        <v>25</v>
      </c>
      <c r="I158">
        <f t="shared" si="4"/>
        <v>12.5</v>
      </c>
      <c r="J158" s="96">
        <f t="shared" si="5"/>
        <v>216.45072260497767</v>
      </c>
      <c r="K158" t="s">
        <v>358</v>
      </c>
      <c r="L158" t="s">
        <v>331</v>
      </c>
    </row>
    <row r="159" spans="1:12">
      <c r="A159">
        <v>235</v>
      </c>
      <c r="B159" t="s">
        <v>482</v>
      </c>
      <c r="C159" t="s">
        <v>421</v>
      </c>
      <c r="D159" s="130">
        <v>350</v>
      </c>
      <c r="E159">
        <v>350</v>
      </c>
      <c r="F159">
        <v>21</v>
      </c>
      <c r="G159">
        <v>485</v>
      </c>
      <c r="H159">
        <v>19</v>
      </c>
      <c r="I159">
        <f t="shared" si="4"/>
        <v>9.5</v>
      </c>
      <c r="J159" s="96">
        <f t="shared" si="5"/>
        <v>154.38029479913848</v>
      </c>
      <c r="L159" t="s">
        <v>331</v>
      </c>
    </row>
    <row r="160" spans="1:12">
      <c r="A160">
        <v>241</v>
      </c>
      <c r="B160" t="s">
        <v>483</v>
      </c>
      <c r="C160" t="s">
        <v>421</v>
      </c>
      <c r="D160" s="130" t="s">
        <v>382</v>
      </c>
      <c r="E160">
        <v>350</v>
      </c>
      <c r="F160">
        <v>25</v>
      </c>
      <c r="G160">
        <v>530</v>
      </c>
      <c r="H160">
        <v>22</v>
      </c>
      <c r="I160">
        <f t="shared" si="4"/>
        <v>11</v>
      </c>
      <c r="J160" s="96">
        <f t="shared" si="5"/>
        <v>168.70423967740905</v>
      </c>
      <c r="L160" t="s">
        <v>331</v>
      </c>
    </row>
    <row r="161" spans="1:12">
      <c r="A161">
        <v>254</v>
      </c>
      <c r="B161" t="s">
        <v>484</v>
      </c>
      <c r="C161" t="s">
        <v>421</v>
      </c>
      <c r="D161" s="130" t="s">
        <v>382</v>
      </c>
      <c r="E161">
        <v>350</v>
      </c>
      <c r="F161">
        <v>21</v>
      </c>
      <c r="G161">
        <v>505</v>
      </c>
      <c r="H161">
        <v>15</v>
      </c>
      <c r="I161">
        <f t="shared" si="4"/>
        <v>7.5</v>
      </c>
      <c r="J161" s="96">
        <f t="shared" si="5"/>
        <v>160.74649252281429</v>
      </c>
      <c r="L161" t="s">
        <v>331</v>
      </c>
    </row>
    <row r="162" spans="1:12">
      <c r="A162">
        <v>266</v>
      </c>
      <c r="B162" t="s">
        <v>485</v>
      </c>
      <c r="C162" t="s">
        <v>421</v>
      </c>
      <c r="D162" s="130" t="s">
        <v>382</v>
      </c>
      <c r="E162">
        <v>350</v>
      </c>
      <c r="F162">
        <v>30</v>
      </c>
      <c r="G162">
        <v>510</v>
      </c>
      <c r="H162">
        <v>23</v>
      </c>
      <c r="I162">
        <f t="shared" si="4"/>
        <v>11.5</v>
      </c>
      <c r="J162" s="96">
        <f t="shared" si="5"/>
        <v>162.33804195373324</v>
      </c>
      <c r="L162" t="s">
        <v>331</v>
      </c>
    </row>
    <row r="163" spans="1:12">
      <c r="A163">
        <v>273</v>
      </c>
      <c r="B163" t="s">
        <v>486</v>
      </c>
      <c r="C163" t="s">
        <v>421</v>
      </c>
      <c r="D163" s="130" t="s">
        <v>382</v>
      </c>
      <c r="E163">
        <v>350</v>
      </c>
      <c r="F163">
        <v>37</v>
      </c>
      <c r="G163">
        <v>550</v>
      </c>
      <c r="H163">
        <v>27</v>
      </c>
      <c r="I163">
        <f t="shared" si="4"/>
        <v>13.5</v>
      </c>
      <c r="J163" s="96">
        <f t="shared" si="5"/>
        <v>175.07043740108489</v>
      </c>
      <c r="L163" t="s">
        <v>331</v>
      </c>
    </row>
    <row r="164" spans="1:12">
      <c r="A164">
        <v>274</v>
      </c>
      <c r="B164" t="s">
        <v>487</v>
      </c>
      <c r="C164" t="s">
        <v>421</v>
      </c>
      <c r="D164" s="130" t="s">
        <v>382</v>
      </c>
      <c r="E164">
        <v>350</v>
      </c>
      <c r="F164">
        <v>23</v>
      </c>
      <c r="G164">
        <v>525</v>
      </c>
      <c r="H164">
        <v>18</v>
      </c>
      <c r="I164">
        <f t="shared" si="4"/>
        <v>9</v>
      </c>
      <c r="J164" s="96">
        <f t="shared" si="5"/>
        <v>167.1126902464901</v>
      </c>
      <c r="K164" t="s">
        <v>333</v>
      </c>
      <c r="L164" t="s">
        <v>331</v>
      </c>
    </row>
    <row r="165" spans="1:12">
      <c r="A165">
        <v>277</v>
      </c>
      <c r="B165" t="s">
        <v>488</v>
      </c>
      <c r="C165" t="s">
        <v>421</v>
      </c>
      <c r="D165" s="130" t="s">
        <v>382</v>
      </c>
      <c r="E165">
        <v>350</v>
      </c>
      <c r="F165">
        <v>49</v>
      </c>
      <c r="G165">
        <v>520</v>
      </c>
      <c r="H165">
        <v>20</v>
      </c>
      <c r="I165">
        <f t="shared" si="4"/>
        <v>10</v>
      </c>
      <c r="J165" s="96">
        <f t="shared" si="5"/>
        <v>165.52114081557116</v>
      </c>
      <c r="L165" t="s">
        <v>331</v>
      </c>
    </row>
    <row r="166" spans="1:12">
      <c r="A166">
        <v>287</v>
      </c>
      <c r="B166" t="s">
        <v>442</v>
      </c>
      <c r="C166" t="s">
        <v>421</v>
      </c>
      <c r="D166" s="130" t="s">
        <v>382</v>
      </c>
      <c r="E166">
        <v>350</v>
      </c>
      <c r="F166">
        <v>24</v>
      </c>
      <c r="G166">
        <v>560</v>
      </c>
      <c r="H166">
        <v>24</v>
      </c>
      <c r="I166">
        <f t="shared" si="4"/>
        <v>12</v>
      </c>
      <c r="J166" s="96">
        <f t="shared" si="5"/>
        <v>178.25353626292278</v>
      </c>
      <c r="L166" t="s">
        <v>331</v>
      </c>
    </row>
    <row r="167" spans="1:12">
      <c r="A167">
        <v>294</v>
      </c>
      <c r="B167" t="s">
        <v>489</v>
      </c>
      <c r="C167" t="s">
        <v>421</v>
      </c>
      <c r="D167" s="130" t="s">
        <v>382</v>
      </c>
      <c r="E167">
        <v>350</v>
      </c>
      <c r="F167">
        <v>31</v>
      </c>
      <c r="G167">
        <v>500</v>
      </c>
      <c r="H167">
        <v>20</v>
      </c>
      <c r="I167">
        <f t="shared" si="4"/>
        <v>10</v>
      </c>
      <c r="J167" s="96">
        <f t="shared" si="5"/>
        <v>159.15494309189535</v>
      </c>
      <c r="K167" t="s">
        <v>490</v>
      </c>
      <c r="L167" t="s">
        <v>331</v>
      </c>
    </row>
    <row r="168" spans="1:12">
      <c r="A168">
        <v>300</v>
      </c>
      <c r="B168" t="s">
        <v>491</v>
      </c>
      <c r="C168" t="s">
        <v>421</v>
      </c>
      <c r="D168" s="130" t="s">
        <v>382</v>
      </c>
      <c r="E168">
        <v>350</v>
      </c>
      <c r="F168">
        <v>30</v>
      </c>
      <c r="G168">
        <v>575</v>
      </c>
      <c r="H168">
        <v>22</v>
      </c>
      <c r="I168">
        <f t="shared" si="4"/>
        <v>11</v>
      </c>
      <c r="J168" s="96">
        <f t="shared" si="5"/>
        <v>183.02818455567964</v>
      </c>
      <c r="L168" t="s">
        <v>331</v>
      </c>
    </row>
    <row r="169" spans="1:12">
      <c r="A169">
        <v>309</v>
      </c>
      <c r="B169" t="s">
        <v>492</v>
      </c>
      <c r="C169" t="s">
        <v>421</v>
      </c>
      <c r="D169" s="130" t="s">
        <v>382</v>
      </c>
      <c r="E169">
        <v>350</v>
      </c>
      <c r="F169">
        <v>25</v>
      </c>
      <c r="G169">
        <v>535</v>
      </c>
      <c r="H169">
        <v>25</v>
      </c>
      <c r="I169">
        <f t="shared" si="4"/>
        <v>12.5</v>
      </c>
      <c r="J169" s="96">
        <f t="shared" si="5"/>
        <v>170.29578910832802</v>
      </c>
      <c r="K169" t="s">
        <v>333</v>
      </c>
      <c r="L169" t="s">
        <v>331</v>
      </c>
    </row>
    <row r="170" spans="1:12">
      <c r="A170">
        <v>315</v>
      </c>
      <c r="B170" t="s">
        <v>493</v>
      </c>
      <c r="C170" t="s">
        <v>421</v>
      </c>
      <c r="D170" s="130" t="s">
        <v>382</v>
      </c>
      <c r="E170">
        <v>350</v>
      </c>
      <c r="F170">
        <v>29</v>
      </c>
      <c r="G170">
        <v>500</v>
      </c>
      <c r="H170">
        <v>24</v>
      </c>
      <c r="I170">
        <f t="shared" si="4"/>
        <v>12</v>
      </c>
      <c r="J170" s="96">
        <f t="shared" si="5"/>
        <v>159.15494309189535</v>
      </c>
      <c r="K170" t="s">
        <v>333</v>
      </c>
      <c r="L170" t="s">
        <v>331</v>
      </c>
    </row>
    <row r="171" spans="1:12">
      <c r="A171">
        <v>317</v>
      </c>
      <c r="B171" t="s">
        <v>494</v>
      </c>
      <c r="C171" t="s">
        <v>421</v>
      </c>
      <c r="D171" s="130" t="s">
        <v>382</v>
      </c>
      <c r="E171">
        <v>350</v>
      </c>
      <c r="F171">
        <v>24</v>
      </c>
      <c r="G171">
        <v>545</v>
      </c>
      <c r="H171">
        <v>16</v>
      </c>
      <c r="I171">
        <f t="shared" si="4"/>
        <v>8</v>
      </c>
      <c r="J171" s="96">
        <f t="shared" si="5"/>
        <v>173.47888797016591</v>
      </c>
      <c r="K171" t="s">
        <v>333</v>
      </c>
      <c r="L171" t="s">
        <v>331</v>
      </c>
    </row>
    <row r="172" spans="1:12">
      <c r="A172">
        <v>321</v>
      </c>
      <c r="B172" t="s">
        <v>495</v>
      </c>
      <c r="C172" t="s">
        <v>421</v>
      </c>
      <c r="D172" s="130" t="s">
        <v>382</v>
      </c>
      <c r="E172">
        <v>350</v>
      </c>
      <c r="F172">
        <v>31</v>
      </c>
      <c r="G172">
        <v>540</v>
      </c>
      <c r="H172">
        <v>23</v>
      </c>
      <c r="I172">
        <f t="shared" si="4"/>
        <v>11.5</v>
      </c>
      <c r="J172" s="96">
        <f t="shared" si="5"/>
        <v>171.88733853924697</v>
      </c>
      <c r="L172" t="s">
        <v>331</v>
      </c>
    </row>
    <row r="173" spans="1:12">
      <c r="A173">
        <v>323</v>
      </c>
      <c r="B173" t="s">
        <v>496</v>
      </c>
      <c r="C173" t="s">
        <v>421</v>
      </c>
      <c r="D173" s="130" t="s">
        <v>382</v>
      </c>
      <c r="E173">
        <v>350</v>
      </c>
      <c r="F173">
        <v>19</v>
      </c>
      <c r="G173">
        <v>650</v>
      </c>
      <c r="H173">
        <v>18</v>
      </c>
      <c r="I173">
        <f t="shared" si="4"/>
        <v>9</v>
      </c>
      <c r="J173" s="96">
        <f t="shared" si="5"/>
        <v>206.90142601946394</v>
      </c>
      <c r="L173" t="s">
        <v>331</v>
      </c>
    </row>
    <row r="174" spans="1:12">
      <c r="A174">
        <v>36</v>
      </c>
      <c r="B174" t="s">
        <v>497</v>
      </c>
      <c r="C174" t="s">
        <v>421</v>
      </c>
      <c r="D174" s="130" t="s">
        <v>382</v>
      </c>
      <c r="E174">
        <v>350</v>
      </c>
      <c r="F174">
        <v>38</v>
      </c>
      <c r="G174">
        <v>615</v>
      </c>
      <c r="H174">
        <v>20</v>
      </c>
      <c r="I174">
        <f t="shared" si="4"/>
        <v>10</v>
      </c>
      <c r="J174" s="96">
        <f t="shared" si="5"/>
        <v>195.76058000303127</v>
      </c>
      <c r="L174" t="s">
        <v>354</v>
      </c>
    </row>
    <row r="175" spans="1:12">
      <c r="A175">
        <v>258</v>
      </c>
      <c r="B175" t="s">
        <v>352</v>
      </c>
      <c r="C175" t="s">
        <v>421</v>
      </c>
      <c r="D175" s="130" t="s">
        <v>382</v>
      </c>
      <c r="E175">
        <v>350</v>
      </c>
      <c r="F175">
        <v>21</v>
      </c>
      <c r="G175">
        <v>560</v>
      </c>
      <c r="H175">
        <v>20</v>
      </c>
      <c r="I175">
        <f t="shared" ref="I175:I238" si="6">H175/2</f>
        <v>10</v>
      </c>
      <c r="J175" s="96">
        <f t="shared" ref="J175:J238" si="7">G175/PI()</f>
        <v>178.25353626292278</v>
      </c>
      <c r="K175" t="s">
        <v>397</v>
      </c>
      <c r="L175" t="s">
        <v>354</v>
      </c>
    </row>
    <row r="176" spans="1:12">
      <c r="A176">
        <v>82</v>
      </c>
      <c r="B176" t="s">
        <v>498</v>
      </c>
      <c r="C176" t="s">
        <v>421</v>
      </c>
      <c r="D176" s="130" t="s">
        <v>382</v>
      </c>
      <c r="E176">
        <v>350</v>
      </c>
      <c r="F176">
        <v>20</v>
      </c>
      <c r="G176">
        <v>460</v>
      </c>
      <c r="H176">
        <v>18</v>
      </c>
      <c r="I176">
        <f t="shared" si="6"/>
        <v>9</v>
      </c>
      <c r="J176" s="96">
        <f t="shared" si="7"/>
        <v>146.42254764454373</v>
      </c>
      <c r="L176" t="s">
        <v>315</v>
      </c>
    </row>
    <row r="177" spans="1:12">
      <c r="A177">
        <v>23</v>
      </c>
      <c r="B177" t="s">
        <v>499</v>
      </c>
      <c r="C177" t="s">
        <v>421</v>
      </c>
      <c r="D177" s="130" t="s">
        <v>395</v>
      </c>
      <c r="E177">
        <v>375</v>
      </c>
      <c r="F177">
        <v>22</v>
      </c>
      <c r="G177">
        <v>700</v>
      </c>
      <c r="H177">
        <v>23</v>
      </c>
      <c r="I177">
        <f t="shared" si="6"/>
        <v>11.5</v>
      </c>
      <c r="J177" s="96">
        <f t="shared" si="7"/>
        <v>222.81692032865348</v>
      </c>
      <c r="L177" t="s">
        <v>331</v>
      </c>
    </row>
    <row r="178" spans="1:12">
      <c r="A178">
        <v>132</v>
      </c>
      <c r="B178" t="s">
        <v>500</v>
      </c>
      <c r="C178" t="s">
        <v>421</v>
      </c>
      <c r="D178" s="130" t="s">
        <v>390</v>
      </c>
      <c r="E178">
        <v>375</v>
      </c>
      <c r="F178">
        <v>30</v>
      </c>
      <c r="G178">
        <v>600</v>
      </c>
      <c r="H178">
        <v>28</v>
      </c>
      <c r="I178">
        <f t="shared" si="6"/>
        <v>14</v>
      </c>
      <c r="J178" s="96">
        <f t="shared" si="7"/>
        <v>190.9859317102744</v>
      </c>
      <c r="L178" t="s">
        <v>331</v>
      </c>
    </row>
    <row r="179" spans="1:12">
      <c r="A179">
        <v>230</v>
      </c>
      <c r="B179" t="s">
        <v>501</v>
      </c>
      <c r="C179" t="s">
        <v>421</v>
      </c>
      <c r="D179" s="130" t="s">
        <v>390</v>
      </c>
      <c r="E179">
        <v>375</v>
      </c>
      <c r="F179">
        <v>24</v>
      </c>
      <c r="G179">
        <v>570</v>
      </c>
      <c r="H179">
        <v>23</v>
      </c>
      <c r="I179">
        <f t="shared" si="6"/>
        <v>11.5</v>
      </c>
      <c r="J179" s="96">
        <f t="shared" si="7"/>
        <v>181.4366351247607</v>
      </c>
      <c r="L179" t="s">
        <v>331</v>
      </c>
    </row>
    <row r="180" spans="1:12">
      <c r="A180">
        <v>233</v>
      </c>
      <c r="B180" t="s">
        <v>502</v>
      </c>
      <c r="C180" t="s">
        <v>421</v>
      </c>
      <c r="D180" s="130" t="s">
        <v>390</v>
      </c>
      <c r="E180">
        <v>375</v>
      </c>
      <c r="F180">
        <v>22</v>
      </c>
      <c r="G180">
        <v>525</v>
      </c>
      <c r="H180">
        <v>16</v>
      </c>
      <c r="I180">
        <f t="shared" si="6"/>
        <v>8</v>
      </c>
      <c r="J180" s="96">
        <f t="shared" si="7"/>
        <v>167.1126902464901</v>
      </c>
      <c r="L180" t="s">
        <v>331</v>
      </c>
    </row>
    <row r="181" spans="1:12">
      <c r="A181">
        <v>236</v>
      </c>
      <c r="B181" t="s">
        <v>482</v>
      </c>
      <c r="C181" t="s">
        <v>421</v>
      </c>
      <c r="D181" s="130" t="s">
        <v>390</v>
      </c>
      <c r="E181">
        <v>375</v>
      </c>
      <c r="F181">
        <v>30</v>
      </c>
      <c r="G181">
        <v>570</v>
      </c>
      <c r="H181">
        <v>30</v>
      </c>
      <c r="I181">
        <f t="shared" si="6"/>
        <v>15</v>
      </c>
      <c r="J181" s="96">
        <f t="shared" si="7"/>
        <v>181.4366351247607</v>
      </c>
      <c r="L181" t="s">
        <v>331</v>
      </c>
    </row>
    <row r="182" spans="1:12">
      <c r="A182">
        <v>7</v>
      </c>
      <c r="B182" t="s">
        <v>503</v>
      </c>
      <c r="C182" t="s">
        <v>421</v>
      </c>
      <c r="D182" s="130">
        <v>400</v>
      </c>
      <c r="E182">
        <v>400</v>
      </c>
      <c r="F182">
        <v>21</v>
      </c>
      <c r="G182">
        <v>525</v>
      </c>
      <c r="H182">
        <v>16</v>
      </c>
      <c r="I182">
        <f t="shared" si="6"/>
        <v>8</v>
      </c>
      <c r="J182" s="96">
        <f t="shared" si="7"/>
        <v>167.1126902464901</v>
      </c>
      <c r="L182" t="s">
        <v>331</v>
      </c>
    </row>
    <row r="183" spans="1:12">
      <c r="A183">
        <v>8</v>
      </c>
      <c r="B183" t="s">
        <v>503</v>
      </c>
      <c r="C183" t="s">
        <v>421</v>
      </c>
      <c r="D183" s="130" t="s">
        <v>395</v>
      </c>
      <c r="E183">
        <v>400</v>
      </c>
      <c r="F183">
        <v>23</v>
      </c>
      <c r="G183">
        <v>535</v>
      </c>
      <c r="H183">
        <v>24</v>
      </c>
      <c r="I183">
        <f t="shared" si="6"/>
        <v>12</v>
      </c>
      <c r="J183" s="96">
        <f t="shared" si="7"/>
        <v>170.29578910832802</v>
      </c>
      <c r="L183" t="s">
        <v>331</v>
      </c>
    </row>
    <row r="184" spans="1:12">
      <c r="A184">
        <v>28</v>
      </c>
      <c r="B184" t="s">
        <v>504</v>
      </c>
      <c r="C184" t="s">
        <v>421</v>
      </c>
      <c r="D184" s="130" t="s">
        <v>395</v>
      </c>
      <c r="E184">
        <v>400</v>
      </c>
      <c r="F184">
        <v>26</v>
      </c>
      <c r="G184">
        <v>615</v>
      </c>
      <c r="H184">
        <v>30</v>
      </c>
      <c r="I184">
        <f t="shared" si="6"/>
        <v>15</v>
      </c>
      <c r="J184" s="96">
        <f t="shared" si="7"/>
        <v>195.76058000303127</v>
      </c>
      <c r="L184" t="s">
        <v>331</v>
      </c>
    </row>
    <row r="185" spans="1:12">
      <c r="A185">
        <v>35</v>
      </c>
      <c r="B185" t="s">
        <v>505</v>
      </c>
      <c r="C185" t="s">
        <v>421</v>
      </c>
      <c r="D185" s="130" t="s">
        <v>395</v>
      </c>
      <c r="E185">
        <v>400</v>
      </c>
      <c r="F185">
        <v>26</v>
      </c>
      <c r="G185">
        <v>560</v>
      </c>
      <c r="H185">
        <v>17</v>
      </c>
      <c r="I185">
        <f t="shared" si="6"/>
        <v>8.5</v>
      </c>
      <c r="J185" s="96">
        <f t="shared" si="7"/>
        <v>178.25353626292278</v>
      </c>
      <c r="L185" t="s">
        <v>331</v>
      </c>
    </row>
    <row r="186" spans="1:12">
      <c r="A186">
        <v>36</v>
      </c>
      <c r="B186" t="s">
        <v>505</v>
      </c>
      <c r="C186" t="s">
        <v>421</v>
      </c>
      <c r="D186" s="130" t="s">
        <v>395</v>
      </c>
      <c r="E186">
        <v>400</v>
      </c>
      <c r="F186">
        <v>25</v>
      </c>
      <c r="G186">
        <v>610</v>
      </c>
      <c r="H186">
        <v>22</v>
      </c>
      <c r="I186">
        <f t="shared" si="6"/>
        <v>11</v>
      </c>
      <c r="J186" s="96">
        <f t="shared" si="7"/>
        <v>194.16903057211232</v>
      </c>
      <c r="L186" t="s">
        <v>331</v>
      </c>
    </row>
    <row r="187" spans="1:12">
      <c r="A187">
        <v>43</v>
      </c>
      <c r="B187" t="s">
        <v>506</v>
      </c>
      <c r="C187" t="s">
        <v>421</v>
      </c>
      <c r="D187" s="130" t="s">
        <v>395</v>
      </c>
      <c r="E187">
        <v>400</v>
      </c>
      <c r="F187">
        <v>27</v>
      </c>
      <c r="G187">
        <v>510</v>
      </c>
      <c r="H187">
        <v>15</v>
      </c>
      <c r="I187">
        <f t="shared" si="6"/>
        <v>7.5</v>
      </c>
      <c r="J187" s="96">
        <f t="shared" si="7"/>
        <v>162.33804195373324</v>
      </c>
      <c r="L187" t="s">
        <v>331</v>
      </c>
    </row>
    <row r="188" spans="1:12">
      <c r="A188">
        <v>50</v>
      </c>
      <c r="B188" t="s">
        <v>507</v>
      </c>
      <c r="C188" t="s">
        <v>421</v>
      </c>
      <c r="D188" s="130" t="s">
        <v>395</v>
      </c>
      <c r="E188">
        <v>400</v>
      </c>
      <c r="F188">
        <v>26</v>
      </c>
      <c r="G188">
        <v>540</v>
      </c>
      <c r="H188">
        <v>22</v>
      </c>
      <c r="I188">
        <f t="shared" si="6"/>
        <v>11</v>
      </c>
      <c r="J188" s="96">
        <f t="shared" si="7"/>
        <v>171.88733853924697</v>
      </c>
      <c r="L188" t="s">
        <v>331</v>
      </c>
    </row>
    <row r="189" spans="1:12">
      <c r="A189">
        <v>93</v>
      </c>
      <c r="B189" t="s">
        <v>508</v>
      </c>
      <c r="C189" t="s">
        <v>421</v>
      </c>
      <c r="D189" s="130" t="s">
        <v>395</v>
      </c>
      <c r="E189">
        <v>400</v>
      </c>
      <c r="F189">
        <v>34</v>
      </c>
      <c r="G189">
        <v>610</v>
      </c>
      <c r="H189">
        <v>30</v>
      </c>
      <c r="I189">
        <f t="shared" si="6"/>
        <v>15</v>
      </c>
      <c r="J189" s="96">
        <f t="shared" si="7"/>
        <v>194.16903057211232</v>
      </c>
      <c r="L189" t="s">
        <v>331</v>
      </c>
    </row>
    <row r="190" spans="1:12">
      <c r="A190">
        <v>93</v>
      </c>
      <c r="B190" t="s">
        <v>508</v>
      </c>
      <c r="C190" t="s">
        <v>421</v>
      </c>
      <c r="D190" s="130" t="s">
        <v>395</v>
      </c>
      <c r="E190">
        <v>400</v>
      </c>
      <c r="F190">
        <v>30</v>
      </c>
      <c r="G190">
        <v>460</v>
      </c>
      <c r="H190">
        <v>15</v>
      </c>
      <c r="I190">
        <f t="shared" si="6"/>
        <v>7.5</v>
      </c>
      <c r="J190" s="96">
        <f t="shared" si="7"/>
        <v>146.42254764454373</v>
      </c>
      <c r="L190" t="s">
        <v>331</v>
      </c>
    </row>
    <row r="191" spans="1:12">
      <c r="A191">
        <v>106</v>
      </c>
      <c r="B191" t="s">
        <v>509</v>
      </c>
      <c r="C191" t="s">
        <v>421</v>
      </c>
      <c r="D191" s="130">
        <v>400</v>
      </c>
      <c r="E191">
        <v>400</v>
      </c>
      <c r="F191">
        <v>20</v>
      </c>
      <c r="G191">
        <v>510</v>
      </c>
      <c r="H191">
        <v>8</v>
      </c>
      <c r="I191">
        <f t="shared" si="6"/>
        <v>4</v>
      </c>
      <c r="J191" s="96">
        <f t="shared" si="7"/>
        <v>162.33804195373324</v>
      </c>
      <c r="L191" t="s">
        <v>331</v>
      </c>
    </row>
    <row r="192" spans="1:12">
      <c r="A192">
        <v>129</v>
      </c>
      <c r="B192" t="s">
        <v>510</v>
      </c>
      <c r="C192" t="s">
        <v>421</v>
      </c>
      <c r="D192" s="130" t="s">
        <v>395</v>
      </c>
      <c r="E192">
        <v>400</v>
      </c>
      <c r="F192">
        <v>29</v>
      </c>
      <c r="G192">
        <v>500</v>
      </c>
      <c r="H192">
        <v>24</v>
      </c>
      <c r="I192">
        <f t="shared" si="6"/>
        <v>12</v>
      </c>
      <c r="J192" s="96">
        <f t="shared" si="7"/>
        <v>159.15494309189535</v>
      </c>
      <c r="L192" t="s">
        <v>331</v>
      </c>
    </row>
    <row r="193" spans="1:12">
      <c r="A193">
        <v>153</v>
      </c>
      <c r="B193" t="s">
        <v>511</v>
      </c>
      <c r="C193" t="s">
        <v>421</v>
      </c>
      <c r="D193" s="130" t="s">
        <v>395</v>
      </c>
      <c r="E193">
        <v>400</v>
      </c>
      <c r="F193">
        <v>27</v>
      </c>
      <c r="G193">
        <v>600</v>
      </c>
      <c r="H193">
        <v>24</v>
      </c>
      <c r="I193">
        <f t="shared" si="6"/>
        <v>12</v>
      </c>
      <c r="J193" s="96">
        <f t="shared" si="7"/>
        <v>190.9859317102744</v>
      </c>
      <c r="L193" t="s">
        <v>331</v>
      </c>
    </row>
    <row r="194" spans="1:12">
      <c r="A194">
        <v>174</v>
      </c>
      <c r="B194" t="s">
        <v>512</v>
      </c>
      <c r="C194" t="s">
        <v>421</v>
      </c>
      <c r="D194" s="130" t="s">
        <v>395</v>
      </c>
      <c r="E194">
        <v>400</v>
      </c>
      <c r="F194">
        <v>30</v>
      </c>
      <c r="G194">
        <v>505</v>
      </c>
      <c r="H194">
        <v>10</v>
      </c>
      <c r="I194">
        <f t="shared" si="6"/>
        <v>5</v>
      </c>
      <c r="J194" s="96">
        <f t="shared" si="7"/>
        <v>160.74649252281429</v>
      </c>
      <c r="L194" t="s">
        <v>331</v>
      </c>
    </row>
    <row r="195" spans="1:12">
      <c r="A195">
        <v>196</v>
      </c>
      <c r="B195" t="s">
        <v>513</v>
      </c>
      <c r="C195" t="s">
        <v>421</v>
      </c>
      <c r="D195" s="130" t="s">
        <v>514</v>
      </c>
      <c r="E195">
        <v>400</v>
      </c>
      <c r="F195">
        <v>27</v>
      </c>
      <c r="G195">
        <v>600</v>
      </c>
      <c r="H195">
        <v>20</v>
      </c>
      <c r="I195">
        <f t="shared" si="6"/>
        <v>10</v>
      </c>
      <c r="J195" s="96">
        <f t="shared" si="7"/>
        <v>190.9859317102744</v>
      </c>
      <c r="L195" t="s">
        <v>331</v>
      </c>
    </row>
    <row r="196" spans="1:12">
      <c r="A196">
        <v>225</v>
      </c>
      <c r="B196" t="s">
        <v>515</v>
      </c>
      <c r="C196" t="s">
        <v>421</v>
      </c>
      <c r="D196" s="130" t="s">
        <v>514</v>
      </c>
      <c r="E196">
        <v>400</v>
      </c>
      <c r="F196">
        <v>23</v>
      </c>
      <c r="G196">
        <v>590</v>
      </c>
      <c r="H196">
        <v>29</v>
      </c>
      <c r="I196">
        <f t="shared" si="6"/>
        <v>14.5</v>
      </c>
      <c r="J196" s="96">
        <f t="shared" si="7"/>
        <v>187.80283284843651</v>
      </c>
      <c r="L196" t="s">
        <v>331</v>
      </c>
    </row>
    <row r="197" spans="1:12">
      <c r="A197">
        <v>238</v>
      </c>
      <c r="B197" t="s">
        <v>516</v>
      </c>
      <c r="C197" t="s">
        <v>421</v>
      </c>
      <c r="D197" s="130" t="s">
        <v>395</v>
      </c>
      <c r="E197">
        <v>400</v>
      </c>
      <c r="F197">
        <v>22</v>
      </c>
      <c r="G197">
        <v>530</v>
      </c>
      <c r="H197">
        <v>20</v>
      </c>
      <c r="I197">
        <f t="shared" si="6"/>
        <v>10</v>
      </c>
      <c r="J197" s="96">
        <f t="shared" si="7"/>
        <v>168.70423967740905</v>
      </c>
      <c r="L197" t="s">
        <v>331</v>
      </c>
    </row>
    <row r="198" spans="1:12">
      <c r="A198">
        <v>283</v>
      </c>
      <c r="B198" t="s">
        <v>517</v>
      </c>
      <c r="C198" t="s">
        <v>421</v>
      </c>
      <c r="D198" s="130" t="s">
        <v>395</v>
      </c>
      <c r="E198">
        <v>400</v>
      </c>
      <c r="F198">
        <v>31</v>
      </c>
      <c r="G198">
        <v>595</v>
      </c>
      <c r="H198">
        <v>19</v>
      </c>
      <c r="I198">
        <f t="shared" si="6"/>
        <v>9.5</v>
      </c>
      <c r="J198" s="96">
        <f t="shared" si="7"/>
        <v>189.39438227935545</v>
      </c>
      <c r="L198" t="s">
        <v>331</v>
      </c>
    </row>
    <row r="199" spans="1:12">
      <c r="A199">
        <v>285</v>
      </c>
      <c r="B199" t="s">
        <v>518</v>
      </c>
      <c r="C199" t="s">
        <v>421</v>
      </c>
      <c r="D199" s="130" t="s">
        <v>395</v>
      </c>
      <c r="E199">
        <v>400</v>
      </c>
      <c r="F199">
        <v>29</v>
      </c>
      <c r="G199">
        <v>580</v>
      </c>
      <c r="H199">
        <v>20</v>
      </c>
      <c r="I199">
        <f t="shared" si="6"/>
        <v>10</v>
      </c>
      <c r="J199" s="96">
        <f t="shared" si="7"/>
        <v>184.61973398659859</v>
      </c>
      <c r="L199" t="s">
        <v>331</v>
      </c>
    </row>
    <row r="200" spans="1:12">
      <c r="A200">
        <v>320</v>
      </c>
      <c r="B200" t="s">
        <v>519</v>
      </c>
      <c r="C200" t="s">
        <v>421</v>
      </c>
      <c r="D200" s="130" t="s">
        <v>395</v>
      </c>
      <c r="E200">
        <v>400</v>
      </c>
      <c r="F200">
        <v>25</v>
      </c>
      <c r="G200">
        <v>675</v>
      </c>
      <c r="H200">
        <v>24</v>
      </c>
      <c r="I200">
        <f t="shared" si="6"/>
        <v>12</v>
      </c>
      <c r="J200" s="96">
        <f t="shared" si="7"/>
        <v>214.85917317405872</v>
      </c>
      <c r="K200" t="s">
        <v>333</v>
      </c>
      <c r="L200" t="s">
        <v>331</v>
      </c>
    </row>
    <row r="201" spans="1:12">
      <c r="A201">
        <v>89</v>
      </c>
      <c r="B201" t="s">
        <v>520</v>
      </c>
      <c r="C201" t="s">
        <v>421</v>
      </c>
      <c r="D201" s="130" t="s">
        <v>395</v>
      </c>
      <c r="E201">
        <v>400</v>
      </c>
      <c r="F201">
        <v>18</v>
      </c>
      <c r="G201">
        <v>640</v>
      </c>
      <c r="H201">
        <v>18</v>
      </c>
      <c r="I201">
        <f t="shared" si="6"/>
        <v>9</v>
      </c>
      <c r="J201" s="96">
        <f t="shared" si="7"/>
        <v>203.71832715762605</v>
      </c>
      <c r="L201" t="s">
        <v>354</v>
      </c>
    </row>
    <row r="202" spans="1:12">
      <c r="A202">
        <v>181</v>
      </c>
      <c r="B202" t="s">
        <v>521</v>
      </c>
      <c r="C202" t="s">
        <v>421</v>
      </c>
      <c r="D202" s="130">
        <v>400</v>
      </c>
      <c r="E202">
        <v>400</v>
      </c>
      <c r="F202">
        <v>18</v>
      </c>
      <c r="G202">
        <v>500</v>
      </c>
      <c r="H202">
        <v>21</v>
      </c>
      <c r="I202">
        <f t="shared" si="6"/>
        <v>10.5</v>
      </c>
      <c r="J202" s="96">
        <f t="shared" si="7"/>
        <v>159.15494309189535</v>
      </c>
      <c r="K202" t="s">
        <v>333</v>
      </c>
      <c r="L202" t="s">
        <v>315</v>
      </c>
    </row>
    <row r="203" spans="1:12">
      <c r="A203">
        <v>62</v>
      </c>
      <c r="B203" t="s">
        <v>522</v>
      </c>
      <c r="C203" t="s">
        <v>421</v>
      </c>
      <c r="D203" s="130" t="s">
        <v>399</v>
      </c>
      <c r="E203">
        <v>425</v>
      </c>
      <c r="F203">
        <v>28</v>
      </c>
      <c r="G203">
        <v>580</v>
      </c>
      <c r="H203">
        <v>16</v>
      </c>
      <c r="I203">
        <f t="shared" si="6"/>
        <v>8</v>
      </c>
      <c r="J203" s="96">
        <f t="shared" si="7"/>
        <v>184.61973398659859</v>
      </c>
      <c r="L203" t="s">
        <v>331</v>
      </c>
    </row>
    <row r="204" spans="1:12">
      <c r="A204">
        <v>79</v>
      </c>
      <c r="B204" t="s">
        <v>523</v>
      </c>
      <c r="C204" t="s">
        <v>421</v>
      </c>
      <c r="D204" s="130" t="s">
        <v>399</v>
      </c>
      <c r="E204">
        <v>425</v>
      </c>
      <c r="F204">
        <v>26</v>
      </c>
      <c r="G204">
        <v>580</v>
      </c>
      <c r="H204">
        <v>12</v>
      </c>
      <c r="I204">
        <f t="shared" si="6"/>
        <v>6</v>
      </c>
      <c r="J204" s="96">
        <f t="shared" si="7"/>
        <v>184.61973398659859</v>
      </c>
      <c r="L204" t="s">
        <v>331</v>
      </c>
    </row>
    <row r="205" spans="1:12">
      <c r="A205">
        <v>86</v>
      </c>
      <c r="B205" t="s">
        <v>524</v>
      </c>
      <c r="C205" t="s">
        <v>421</v>
      </c>
      <c r="D205" s="130" t="s">
        <v>399</v>
      </c>
      <c r="E205">
        <v>425</v>
      </c>
      <c r="F205">
        <v>29</v>
      </c>
      <c r="G205">
        <v>560</v>
      </c>
      <c r="H205">
        <v>18</v>
      </c>
      <c r="I205">
        <f t="shared" si="6"/>
        <v>9</v>
      </c>
      <c r="J205" s="96">
        <f t="shared" si="7"/>
        <v>178.25353626292278</v>
      </c>
      <c r="L205" t="s">
        <v>331</v>
      </c>
    </row>
    <row r="206" spans="1:12">
      <c r="A206">
        <v>144</v>
      </c>
      <c r="B206" t="s">
        <v>1182</v>
      </c>
      <c r="C206" t="s">
        <v>421</v>
      </c>
      <c r="D206" s="130" t="s">
        <v>399</v>
      </c>
      <c r="E206">
        <v>425</v>
      </c>
      <c r="F206">
        <v>20</v>
      </c>
      <c r="G206">
        <v>660</v>
      </c>
      <c r="H206">
        <v>17</v>
      </c>
      <c r="I206">
        <f t="shared" si="6"/>
        <v>8.5</v>
      </c>
      <c r="J206" s="96">
        <f t="shared" si="7"/>
        <v>210.08452488130186</v>
      </c>
      <c r="L206" t="s">
        <v>331</v>
      </c>
    </row>
    <row r="207" spans="1:12">
      <c r="A207">
        <v>175</v>
      </c>
      <c r="B207" t="s">
        <v>512</v>
      </c>
      <c r="C207" t="s">
        <v>421</v>
      </c>
      <c r="D207" s="130" t="s">
        <v>399</v>
      </c>
      <c r="E207">
        <v>425</v>
      </c>
      <c r="F207">
        <v>22</v>
      </c>
      <c r="G207">
        <v>545</v>
      </c>
      <c r="H207">
        <v>14</v>
      </c>
      <c r="I207">
        <f t="shared" si="6"/>
        <v>7</v>
      </c>
      <c r="J207" s="96">
        <f t="shared" si="7"/>
        <v>173.47888797016591</v>
      </c>
      <c r="L207" t="s">
        <v>331</v>
      </c>
    </row>
    <row r="208" spans="1:12">
      <c r="A208">
        <v>206</v>
      </c>
      <c r="B208" t="s">
        <v>525</v>
      </c>
      <c r="C208" t="s">
        <v>421</v>
      </c>
      <c r="D208" s="130" t="s">
        <v>399</v>
      </c>
      <c r="E208">
        <v>425</v>
      </c>
      <c r="F208">
        <v>23</v>
      </c>
      <c r="G208">
        <v>610</v>
      </c>
      <c r="H208">
        <v>29</v>
      </c>
      <c r="I208">
        <f t="shared" si="6"/>
        <v>14.5</v>
      </c>
      <c r="J208" s="96">
        <f t="shared" si="7"/>
        <v>194.16903057211232</v>
      </c>
      <c r="L208" t="s">
        <v>331</v>
      </c>
    </row>
    <row r="209" spans="1:12">
      <c r="A209">
        <v>210</v>
      </c>
      <c r="B209" t="s">
        <v>526</v>
      </c>
      <c r="C209" t="s">
        <v>421</v>
      </c>
      <c r="D209" s="130" t="s">
        <v>399</v>
      </c>
      <c r="E209">
        <v>425</v>
      </c>
      <c r="F209">
        <v>33</v>
      </c>
      <c r="G209">
        <v>635</v>
      </c>
      <c r="H209">
        <v>30</v>
      </c>
      <c r="I209">
        <f t="shared" si="6"/>
        <v>15</v>
      </c>
      <c r="J209" s="96">
        <f t="shared" si="7"/>
        <v>202.12677772670708</v>
      </c>
      <c r="L209" t="s">
        <v>331</v>
      </c>
    </row>
    <row r="210" spans="1:12">
      <c r="A210">
        <v>214</v>
      </c>
      <c r="B210" t="s">
        <v>527</v>
      </c>
      <c r="C210" t="s">
        <v>421</v>
      </c>
      <c r="D210" s="130" t="s">
        <v>399</v>
      </c>
      <c r="E210">
        <v>425</v>
      </c>
      <c r="F210">
        <v>24</v>
      </c>
      <c r="G210">
        <v>510</v>
      </c>
      <c r="H210">
        <v>23</v>
      </c>
      <c r="I210">
        <f t="shared" si="6"/>
        <v>11.5</v>
      </c>
      <c r="J210" s="96">
        <f t="shared" si="7"/>
        <v>162.33804195373324</v>
      </c>
      <c r="L210" t="s">
        <v>331</v>
      </c>
    </row>
    <row r="211" spans="1:12">
      <c r="A211">
        <v>214</v>
      </c>
      <c r="B211" t="s">
        <v>527</v>
      </c>
      <c r="C211" t="s">
        <v>421</v>
      </c>
      <c r="D211" s="130" t="s">
        <v>399</v>
      </c>
      <c r="E211">
        <v>425</v>
      </c>
      <c r="F211">
        <v>24</v>
      </c>
      <c r="G211">
        <v>610</v>
      </c>
      <c r="H211">
        <v>21</v>
      </c>
      <c r="I211">
        <f t="shared" si="6"/>
        <v>10.5</v>
      </c>
      <c r="J211" s="96">
        <f t="shared" si="7"/>
        <v>194.16903057211232</v>
      </c>
      <c r="L211" t="s">
        <v>331</v>
      </c>
    </row>
    <row r="212" spans="1:12">
      <c r="A212">
        <v>214</v>
      </c>
      <c r="B212" t="s">
        <v>527</v>
      </c>
      <c r="C212" t="s">
        <v>421</v>
      </c>
      <c r="D212" s="130" t="s">
        <v>399</v>
      </c>
      <c r="E212">
        <v>425</v>
      </c>
      <c r="F212">
        <v>20</v>
      </c>
      <c r="G212">
        <v>510</v>
      </c>
      <c r="H212">
        <v>20</v>
      </c>
      <c r="I212">
        <f t="shared" si="6"/>
        <v>10</v>
      </c>
      <c r="J212" s="96">
        <f t="shared" si="7"/>
        <v>162.33804195373324</v>
      </c>
      <c r="L212" t="s">
        <v>331</v>
      </c>
    </row>
    <row r="213" spans="1:12">
      <c r="A213">
        <v>222</v>
      </c>
      <c r="B213" t="s">
        <v>528</v>
      </c>
      <c r="C213" t="s">
        <v>421</v>
      </c>
      <c r="D213" s="130" t="s">
        <v>399</v>
      </c>
      <c r="E213">
        <v>425</v>
      </c>
      <c r="F213">
        <v>26</v>
      </c>
      <c r="G213">
        <v>570</v>
      </c>
      <c r="H213">
        <v>22</v>
      </c>
      <c r="I213">
        <f t="shared" si="6"/>
        <v>11</v>
      </c>
      <c r="J213" s="96">
        <f t="shared" si="7"/>
        <v>181.4366351247607</v>
      </c>
      <c r="L213" t="s">
        <v>331</v>
      </c>
    </row>
    <row r="214" spans="1:12">
      <c r="A214">
        <v>234</v>
      </c>
      <c r="B214" t="s">
        <v>529</v>
      </c>
      <c r="C214" t="s">
        <v>421</v>
      </c>
      <c r="D214" s="130" t="s">
        <v>399</v>
      </c>
      <c r="E214">
        <v>425</v>
      </c>
      <c r="F214">
        <v>19</v>
      </c>
      <c r="G214">
        <v>560</v>
      </c>
      <c r="H214">
        <v>17</v>
      </c>
      <c r="I214">
        <f t="shared" si="6"/>
        <v>8.5</v>
      </c>
      <c r="J214" s="96">
        <f t="shared" si="7"/>
        <v>178.25353626292278</v>
      </c>
      <c r="L214" t="s">
        <v>331</v>
      </c>
    </row>
    <row r="215" spans="1:12">
      <c r="A215">
        <v>25</v>
      </c>
      <c r="B215" t="s">
        <v>499</v>
      </c>
      <c r="C215" t="s">
        <v>421</v>
      </c>
      <c r="D215" s="130" t="s">
        <v>401</v>
      </c>
      <c r="E215">
        <v>450</v>
      </c>
      <c r="F215">
        <v>23</v>
      </c>
      <c r="G215">
        <v>855</v>
      </c>
      <c r="H215">
        <v>21</v>
      </c>
      <c r="I215">
        <f t="shared" si="6"/>
        <v>10.5</v>
      </c>
      <c r="J215" s="96">
        <f t="shared" si="7"/>
        <v>272.15495268714102</v>
      </c>
      <c r="L215" t="s">
        <v>331</v>
      </c>
    </row>
    <row r="216" spans="1:12">
      <c r="A216">
        <v>40</v>
      </c>
      <c r="B216" t="s">
        <v>530</v>
      </c>
      <c r="C216" t="s">
        <v>421</v>
      </c>
      <c r="D216" s="130" t="s">
        <v>401</v>
      </c>
      <c r="E216">
        <v>450</v>
      </c>
      <c r="F216">
        <v>23</v>
      </c>
      <c r="G216">
        <v>670</v>
      </c>
      <c r="H216">
        <v>21</v>
      </c>
      <c r="I216">
        <f t="shared" si="6"/>
        <v>10.5</v>
      </c>
      <c r="J216" s="96">
        <f t="shared" si="7"/>
        <v>213.26762374313975</v>
      </c>
      <c r="L216" t="s">
        <v>331</v>
      </c>
    </row>
    <row r="217" spans="1:12">
      <c r="A217">
        <v>41</v>
      </c>
      <c r="B217" t="s">
        <v>531</v>
      </c>
      <c r="C217" t="s">
        <v>421</v>
      </c>
      <c r="D217" s="130" t="s">
        <v>401</v>
      </c>
      <c r="E217">
        <v>450</v>
      </c>
      <c r="F217">
        <v>29</v>
      </c>
      <c r="G217">
        <v>650</v>
      </c>
      <c r="H217">
        <v>26</v>
      </c>
      <c r="I217">
        <f t="shared" si="6"/>
        <v>13</v>
      </c>
      <c r="J217" s="96">
        <f t="shared" si="7"/>
        <v>206.90142601946394</v>
      </c>
      <c r="L217" t="s">
        <v>331</v>
      </c>
    </row>
    <row r="218" spans="1:12">
      <c r="A218">
        <v>47</v>
      </c>
      <c r="B218" t="s">
        <v>532</v>
      </c>
      <c r="C218" t="s">
        <v>421</v>
      </c>
      <c r="D218" s="130" t="s">
        <v>401</v>
      </c>
      <c r="E218">
        <v>450</v>
      </c>
      <c r="F218">
        <v>23</v>
      </c>
      <c r="G218">
        <v>560</v>
      </c>
      <c r="H218">
        <v>19</v>
      </c>
      <c r="I218">
        <f t="shared" si="6"/>
        <v>9.5</v>
      </c>
      <c r="J218" s="96">
        <f t="shared" si="7"/>
        <v>178.25353626292278</v>
      </c>
      <c r="L218" t="s">
        <v>331</v>
      </c>
    </row>
    <row r="219" spans="1:12">
      <c r="A219">
        <v>48</v>
      </c>
      <c r="B219" t="s">
        <v>459</v>
      </c>
      <c r="C219" t="s">
        <v>421</v>
      </c>
      <c r="D219" s="130" t="s">
        <v>401</v>
      </c>
      <c r="E219">
        <v>450</v>
      </c>
      <c r="F219">
        <v>19</v>
      </c>
      <c r="G219">
        <v>570</v>
      </c>
      <c r="H219">
        <v>17</v>
      </c>
      <c r="I219">
        <f t="shared" si="6"/>
        <v>8.5</v>
      </c>
      <c r="J219" s="96">
        <f t="shared" si="7"/>
        <v>181.4366351247607</v>
      </c>
      <c r="L219" t="s">
        <v>331</v>
      </c>
    </row>
    <row r="220" spans="1:12">
      <c r="A220">
        <v>51</v>
      </c>
      <c r="B220" t="s">
        <v>533</v>
      </c>
      <c r="C220" t="s">
        <v>421</v>
      </c>
      <c r="D220" s="130" t="s">
        <v>401</v>
      </c>
      <c r="E220">
        <v>450</v>
      </c>
      <c r="F220">
        <v>22</v>
      </c>
      <c r="G220">
        <v>670</v>
      </c>
      <c r="H220">
        <v>12</v>
      </c>
      <c r="I220">
        <f t="shared" si="6"/>
        <v>6</v>
      </c>
      <c r="J220" s="96">
        <f t="shared" si="7"/>
        <v>213.26762374313975</v>
      </c>
      <c r="L220" t="s">
        <v>331</v>
      </c>
    </row>
    <row r="221" spans="1:12">
      <c r="A221">
        <v>65</v>
      </c>
      <c r="B221" t="s">
        <v>460</v>
      </c>
      <c r="C221" t="s">
        <v>421</v>
      </c>
      <c r="D221" s="130" t="s">
        <v>401</v>
      </c>
      <c r="E221">
        <v>450</v>
      </c>
      <c r="F221">
        <v>28</v>
      </c>
      <c r="G221">
        <v>600</v>
      </c>
      <c r="H221">
        <v>22</v>
      </c>
      <c r="I221">
        <f t="shared" si="6"/>
        <v>11</v>
      </c>
      <c r="J221" s="96">
        <f t="shared" si="7"/>
        <v>190.9859317102744</v>
      </c>
      <c r="L221" t="s">
        <v>331</v>
      </c>
    </row>
    <row r="222" spans="1:12">
      <c r="A222">
        <v>82</v>
      </c>
      <c r="B222" t="s">
        <v>534</v>
      </c>
      <c r="C222" t="s">
        <v>421</v>
      </c>
      <c r="D222" s="130" t="s">
        <v>401</v>
      </c>
      <c r="E222">
        <v>450</v>
      </c>
      <c r="F222">
        <v>20</v>
      </c>
      <c r="G222">
        <v>630</v>
      </c>
      <c r="H222">
        <v>15</v>
      </c>
      <c r="I222">
        <f t="shared" si="6"/>
        <v>7.5</v>
      </c>
      <c r="J222" s="96">
        <f t="shared" si="7"/>
        <v>200.53522829578813</v>
      </c>
      <c r="L222" t="s">
        <v>331</v>
      </c>
    </row>
    <row r="223" spans="1:12">
      <c r="A223">
        <v>107</v>
      </c>
      <c r="B223" t="s">
        <v>535</v>
      </c>
      <c r="C223" t="s">
        <v>421</v>
      </c>
      <c r="D223" s="130" t="s">
        <v>401</v>
      </c>
      <c r="E223">
        <v>450</v>
      </c>
      <c r="F223">
        <v>23</v>
      </c>
      <c r="G223">
        <v>675</v>
      </c>
      <c r="H223">
        <v>24</v>
      </c>
      <c r="I223">
        <f t="shared" si="6"/>
        <v>12</v>
      </c>
      <c r="J223" s="96">
        <f t="shared" si="7"/>
        <v>214.85917317405872</v>
      </c>
      <c r="L223" t="s">
        <v>331</v>
      </c>
    </row>
    <row r="224" spans="1:12">
      <c r="A224">
        <v>166</v>
      </c>
      <c r="B224" t="s">
        <v>536</v>
      </c>
      <c r="C224" t="s">
        <v>421</v>
      </c>
      <c r="D224" s="130" t="s">
        <v>401</v>
      </c>
      <c r="E224">
        <v>450</v>
      </c>
      <c r="F224">
        <v>28</v>
      </c>
      <c r="G224">
        <v>640</v>
      </c>
      <c r="H224">
        <v>17</v>
      </c>
      <c r="I224">
        <f t="shared" si="6"/>
        <v>8.5</v>
      </c>
      <c r="J224" s="96">
        <f t="shared" si="7"/>
        <v>203.71832715762605</v>
      </c>
      <c r="L224" t="s">
        <v>331</v>
      </c>
    </row>
    <row r="225" spans="1:12">
      <c r="A225">
        <v>177</v>
      </c>
      <c r="B225" t="s">
        <v>537</v>
      </c>
      <c r="C225" t="s">
        <v>421</v>
      </c>
      <c r="D225" s="130" t="s">
        <v>401</v>
      </c>
      <c r="E225">
        <v>450</v>
      </c>
      <c r="F225">
        <v>19</v>
      </c>
      <c r="G225">
        <v>715</v>
      </c>
      <c r="H225">
        <v>12</v>
      </c>
      <c r="I225">
        <f t="shared" si="6"/>
        <v>6</v>
      </c>
      <c r="J225" s="96">
        <f t="shared" si="7"/>
        <v>227.59156862141035</v>
      </c>
      <c r="L225" t="s">
        <v>331</v>
      </c>
    </row>
    <row r="226" spans="1:12">
      <c r="A226">
        <v>217</v>
      </c>
      <c r="B226" t="s">
        <v>538</v>
      </c>
      <c r="C226" t="s">
        <v>421</v>
      </c>
      <c r="D226" s="130" t="s">
        <v>401</v>
      </c>
      <c r="E226">
        <v>450</v>
      </c>
      <c r="F226">
        <v>30</v>
      </c>
      <c r="G226">
        <v>635</v>
      </c>
      <c r="H226">
        <v>24</v>
      </c>
      <c r="I226">
        <f t="shared" si="6"/>
        <v>12</v>
      </c>
      <c r="J226" s="96">
        <f t="shared" si="7"/>
        <v>202.12677772670708</v>
      </c>
      <c r="L226" t="s">
        <v>331</v>
      </c>
    </row>
    <row r="227" spans="1:12">
      <c r="A227">
        <v>229</v>
      </c>
      <c r="B227" t="s">
        <v>501</v>
      </c>
      <c r="C227" t="s">
        <v>421</v>
      </c>
      <c r="D227" s="130" t="s">
        <v>401</v>
      </c>
      <c r="E227">
        <v>450</v>
      </c>
      <c r="F227">
        <v>25</v>
      </c>
      <c r="G227">
        <v>670</v>
      </c>
      <c r="H227">
        <v>25</v>
      </c>
      <c r="I227">
        <f t="shared" si="6"/>
        <v>12.5</v>
      </c>
      <c r="J227" s="96">
        <f t="shared" si="7"/>
        <v>213.26762374313975</v>
      </c>
      <c r="L227" t="s">
        <v>331</v>
      </c>
    </row>
    <row r="228" spans="1:12">
      <c r="A228">
        <v>250</v>
      </c>
      <c r="B228" t="s">
        <v>539</v>
      </c>
      <c r="C228" t="s">
        <v>421</v>
      </c>
      <c r="D228" s="130" t="s">
        <v>401</v>
      </c>
      <c r="E228">
        <v>450</v>
      </c>
      <c r="F228">
        <v>28</v>
      </c>
      <c r="G228">
        <v>610</v>
      </c>
      <c r="H228">
        <v>17</v>
      </c>
      <c r="I228">
        <f t="shared" si="6"/>
        <v>8.5</v>
      </c>
      <c r="J228" s="96">
        <f t="shared" si="7"/>
        <v>194.16903057211232</v>
      </c>
      <c r="L228" t="s">
        <v>331</v>
      </c>
    </row>
    <row r="229" spans="1:12">
      <c r="A229">
        <v>261</v>
      </c>
      <c r="B229" t="s">
        <v>540</v>
      </c>
      <c r="C229" t="s">
        <v>421</v>
      </c>
      <c r="D229" s="130" t="s">
        <v>401</v>
      </c>
      <c r="E229">
        <v>450</v>
      </c>
      <c r="F229">
        <v>28</v>
      </c>
      <c r="G229">
        <v>595</v>
      </c>
      <c r="H229">
        <v>27</v>
      </c>
      <c r="I229">
        <f t="shared" si="6"/>
        <v>13.5</v>
      </c>
      <c r="J229" s="96">
        <f t="shared" si="7"/>
        <v>189.39438227935545</v>
      </c>
      <c r="L229" t="s">
        <v>331</v>
      </c>
    </row>
    <row r="230" spans="1:12">
      <c r="A230">
        <v>282</v>
      </c>
      <c r="B230" t="s">
        <v>541</v>
      </c>
      <c r="C230" t="s">
        <v>421</v>
      </c>
      <c r="D230" s="130" t="s">
        <v>401</v>
      </c>
      <c r="E230">
        <v>450</v>
      </c>
      <c r="F230">
        <v>35</v>
      </c>
      <c r="G230">
        <v>650</v>
      </c>
      <c r="H230">
        <v>28</v>
      </c>
      <c r="I230">
        <f t="shared" si="6"/>
        <v>14</v>
      </c>
      <c r="J230" s="96">
        <f t="shared" si="7"/>
        <v>206.90142601946394</v>
      </c>
      <c r="K230" t="s">
        <v>333</v>
      </c>
      <c r="L230" t="s">
        <v>331</v>
      </c>
    </row>
    <row r="231" spans="1:12">
      <c r="A231">
        <v>305</v>
      </c>
      <c r="B231" t="s">
        <v>542</v>
      </c>
      <c r="C231" t="s">
        <v>421</v>
      </c>
      <c r="D231" s="130" t="s">
        <v>401</v>
      </c>
      <c r="E231">
        <v>450</v>
      </c>
      <c r="F231">
        <v>24</v>
      </c>
      <c r="G231">
        <v>605</v>
      </c>
      <c r="H231">
        <v>12</v>
      </c>
      <c r="I231">
        <f t="shared" si="6"/>
        <v>6</v>
      </c>
      <c r="J231" s="96">
        <f t="shared" si="7"/>
        <v>192.57748114119337</v>
      </c>
      <c r="L231" t="s">
        <v>331</v>
      </c>
    </row>
    <row r="232" spans="1:12">
      <c r="A232">
        <v>259</v>
      </c>
      <c r="B232" t="s">
        <v>352</v>
      </c>
      <c r="C232" t="s">
        <v>421</v>
      </c>
      <c r="D232" s="130" t="s">
        <v>401</v>
      </c>
      <c r="E232">
        <v>450</v>
      </c>
      <c r="F232">
        <v>28</v>
      </c>
      <c r="G232">
        <v>620</v>
      </c>
      <c r="H232">
        <v>20</v>
      </c>
      <c r="I232">
        <f t="shared" si="6"/>
        <v>10</v>
      </c>
      <c r="J232" s="96">
        <f t="shared" si="7"/>
        <v>197.35212943395021</v>
      </c>
      <c r="K232" t="s">
        <v>335</v>
      </c>
      <c r="L232" t="s">
        <v>354</v>
      </c>
    </row>
    <row r="233" spans="1:12">
      <c r="A233">
        <v>28</v>
      </c>
      <c r="B233" t="s">
        <v>543</v>
      </c>
      <c r="C233" t="s">
        <v>421</v>
      </c>
      <c r="D233" s="130" t="s">
        <v>401</v>
      </c>
      <c r="E233">
        <v>450</v>
      </c>
      <c r="F233">
        <v>28</v>
      </c>
      <c r="G233">
        <v>615</v>
      </c>
      <c r="H233">
        <v>26</v>
      </c>
      <c r="I233">
        <f t="shared" si="6"/>
        <v>13</v>
      </c>
      <c r="J233" s="96">
        <f t="shared" si="7"/>
        <v>195.76058000303127</v>
      </c>
      <c r="K233" t="s">
        <v>333</v>
      </c>
      <c r="L233" t="s">
        <v>315</v>
      </c>
    </row>
    <row r="234" spans="1:12">
      <c r="A234">
        <v>27</v>
      </c>
      <c r="B234" t="s">
        <v>544</v>
      </c>
      <c r="C234" t="s">
        <v>421</v>
      </c>
      <c r="D234" s="130">
        <v>450</v>
      </c>
      <c r="E234" s="130">
        <v>450</v>
      </c>
      <c r="F234">
        <v>27</v>
      </c>
      <c r="G234">
        <v>685</v>
      </c>
      <c r="H234">
        <v>37</v>
      </c>
      <c r="I234">
        <f t="shared" si="6"/>
        <v>18.5</v>
      </c>
      <c r="J234" s="96">
        <f t="shared" si="7"/>
        <v>218.04227203589662</v>
      </c>
      <c r="K234" t="s">
        <v>333</v>
      </c>
      <c r="L234" t="s">
        <v>322</v>
      </c>
    </row>
    <row r="235" spans="1:12">
      <c r="A235">
        <v>52</v>
      </c>
      <c r="B235" t="s">
        <v>545</v>
      </c>
      <c r="C235" t="s">
        <v>421</v>
      </c>
      <c r="D235" s="130" t="s">
        <v>546</v>
      </c>
      <c r="E235">
        <v>475</v>
      </c>
      <c r="F235">
        <v>24</v>
      </c>
      <c r="G235">
        <v>655</v>
      </c>
      <c r="H235">
        <v>17</v>
      </c>
      <c r="I235">
        <f t="shared" si="6"/>
        <v>8.5</v>
      </c>
      <c r="J235" s="96">
        <f t="shared" si="7"/>
        <v>208.49297545038289</v>
      </c>
      <c r="L235" t="s">
        <v>331</v>
      </c>
    </row>
    <row r="236" spans="1:12">
      <c r="A236">
        <v>292</v>
      </c>
      <c r="B236" t="s">
        <v>547</v>
      </c>
      <c r="C236" t="s">
        <v>421</v>
      </c>
      <c r="D236" s="130" t="s">
        <v>546</v>
      </c>
      <c r="E236">
        <v>475</v>
      </c>
      <c r="F236">
        <v>27</v>
      </c>
      <c r="G236">
        <v>690</v>
      </c>
      <c r="H236">
        <v>15</v>
      </c>
      <c r="I236">
        <f t="shared" si="6"/>
        <v>7.5</v>
      </c>
      <c r="J236" s="96">
        <f t="shared" si="7"/>
        <v>219.63382146681556</v>
      </c>
      <c r="L236" t="s">
        <v>331</v>
      </c>
    </row>
    <row r="237" spans="1:12">
      <c r="A237">
        <v>11</v>
      </c>
      <c r="B237" t="s">
        <v>548</v>
      </c>
      <c r="C237" t="s">
        <v>421</v>
      </c>
      <c r="D237" s="130" t="s">
        <v>410</v>
      </c>
      <c r="E237">
        <v>500</v>
      </c>
      <c r="F237">
        <v>26</v>
      </c>
      <c r="G237">
        <v>695</v>
      </c>
      <c r="H237">
        <v>12</v>
      </c>
      <c r="I237">
        <f t="shared" si="6"/>
        <v>6</v>
      </c>
      <c r="J237" s="96">
        <f t="shared" si="7"/>
        <v>221.22537089773454</v>
      </c>
      <c r="L237" t="s">
        <v>331</v>
      </c>
    </row>
    <row r="238" spans="1:12">
      <c r="A238">
        <v>53</v>
      </c>
      <c r="B238" t="s">
        <v>545</v>
      </c>
      <c r="C238" t="s">
        <v>421</v>
      </c>
      <c r="D238" s="130" t="s">
        <v>549</v>
      </c>
      <c r="E238">
        <v>500</v>
      </c>
      <c r="F238">
        <v>25</v>
      </c>
      <c r="G238">
        <v>735</v>
      </c>
      <c r="H238">
        <v>22</v>
      </c>
      <c r="I238">
        <f t="shared" si="6"/>
        <v>11</v>
      </c>
      <c r="J238" s="96">
        <f t="shared" si="7"/>
        <v>233.95776634508616</v>
      </c>
      <c r="L238" t="s">
        <v>331</v>
      </c>
    </row>
    <row r="239" spans="1:12">
      <c r="A239">
        <v>71</v>
      </c>
      <c r="B239" t="s">
        <v>550</v>
      </c>
      <c r="C239" t="s">
        <v>421</v>
      </c>
      <c r="D239" s="130" t="s">
        <v>410</v>
      </c>
      <c r="E239">
        <v>500</v>
      </c>
      <c r="F239">
        <v>26</v>
      </c>
      <c r="G239">
        <v>725</v>
      </c>
      <c r="H239">
        <v>26</v>
      </c>
      <c r="I239">
        <f t="shared" ref="I239:I291" si="8">H239/2</f>
        <v>13</v>
      </c>
      <c r="J239" s="96">
        <f t="shared" ref="J239:J291" si="9">G239/PI()</f>
        <v>230.77466748324824</v>
      </c>
      <c r="L239" t="s">
        <v>331</v>
      </c>
    </row>
    <row r="240" spans="1:12">
      <c r="A240">
        <v>75</v>
      </c>
      <c r="B240" t="s">
        <v>551</v>
      </c>
      <c r="C240" t="s">
        <v>421</v>
      </c>
      <c r="D240" s="130" t="s">
        <v>410</v>
      </c>
      <c r="E240">
        <v>500</v>
      </c>
      <c r="F240">
        <v>31</v>
      </c>
      <c r="G240">
        <v>710</v>
      </c>
      <c r="H240">
        <v>22</v>
      </c>
      <c r="I240">
        <f t="shared" si="8"/>
        <v>11</v>
      </c>
      <c r="J240" s="96">
        <f t="shared" si="9"/>
        <v>226.00001919049137</v>
      </c>
      <c r="L240" t="s">
        <v>331</v>
      </c>
    </row>
    <row r="241" spans="1:12">
      <c r="A241">
        <v>80</v>
      </c>
      <c r="B241" t="s">
        <v>523</v>
      </c>
      <c r="C241" t="s">
        <v>421</v>
      </c>
      <c r="D241" s="130" t="s">
        <v>410</v>
      </c>
      <c r="E241">
        <v>500</v>
      </c>
      <c r="F241">
        <v>30</v>
      </c>
      <c r="G241">
        <v>630</v>
      </c>
      <c r="H241">
        <v>18</v>
      </c>
      <c r="I241">
        <f t="shared" si="8"/>
        <v>9</v>
      </c>
      <c r="J241" s="96">
        <f t="shared" si="9"/>
        <v>200.53522829578813</v>
      </c>
      <c r="K241" t="s">
        <v>552</v>
      </c>
      <c r="L241" t="s">
        <v>331</v>
      </c>
    </row>
    <row r="242" spans="1:12">
      <c r="A242">
        <v>168</v>
      </c>
      <c r="B242" t="s">
        <v>553</v>
      </c>
      <c r="C242" t="s">
        <v>421</v>
      </c>
      <c r="D242" s="130" t="s">
        <v>410</v>
      </c>
      <c r="E242">
        <v>500</v>
      </c>
      <c r="F242">
        <v>24</v>
      </c>
      <c r="G242">
        <v>685</v>
      </c>
      <c r="H242">
        <v>21</v>
      </c>
      <c r="I242">
        <f t="shared" si="8"/>
        <v>10.5</v>
      </c>
      <c r="J242" s="96">
        <f t="shared" si="9"/>
        <v>218.04227203589662</v>
      </c>
      <c r="L242" t="s">
        <v>331</v>
      </c>
    </row>
    <row r="243" spans="1:12">
      <c r="A243">
        <v>169</v>
      </c>
      <c r="B243" t="s">
        <v>553</v>
      </c>
      <c r="C243" t="s">
        <v>421</v>
      </c>
      <c r="D243" s="130" t="s">
        <v>410</v>
      </c>
      <c r="E243">
        <v>500</v>
      </c>
      <c r="F243">
        <v>33</v>
      </c>
      <c r="G243">
        <v>850</v>
      </c>
      <c r="H243">
        <v>19</v>
      </c>
      <c r="I243">
        <f t="shared" si="8"/>
        <v>9.5</v>
      </c>
      <c r="J243" s="96">
        <f t="shared" si="9"/>
        <v>270.5634032562221</v>
      </c>
      <c r="L243" t="s">
        <v>331</v>
      </c>
    </row>
    <row r="244" spans="1:12">
      <c r="A244">
        <v>205</v>
      </c>
      <c r="B244" t="s">
        <v>478</v>
      </c>
      <c r="C244" t="s">
        <v>421</v>
      </c>
      <c r="D244" s="130" t="s">
        <v>549</v>
      </c>
      <c r="E244">
        <v>500</v>
      </c>
      <c r="F244">
        <v>26</v>
      </c>
      <c r="G244">
        <v>765</v>
      </c>
      <c r="H244">
        <v>22</v>
      </c>
      <c r="I244">
        <f t="shared" si="8"/>
        <v>11</v>
      </c>
      <c r="J244" s="96">
        <f t="shared" si="9"/>
        <v>243.50706293059989</v>
      </c>
      <c r="L244" t="s">
        <v>331</v>
      </c>
    </row>
    <row r="245" spans="1:12">
      <c r="A245">
        <v>208</v>
      </c>
      <c r="B245" t="s">
        <v>555</v>
      </c>
      <c r="C245" t="s">
        <v>421</v>
      </c>
      <c r="D245" s="130" t="s">
        <v>549</v>
      </c>
      <c r="E245">
        <v>500</v>
      </c>
      <c r="F245">
        <v>24</v>
      </c>
      <c r="G245">
        <v>760</v>
      </c>
      <c r="H245">
        <v>22</v>
      </c>
      <c r="I245">
        <f t="shared" si="8"/>
        <v>11</v>
      </c>
      <c r="J245" s="96">
        <f t="shared" si="9"/>
        <v>241.91551349968091</v>
      </c>
      <c r="L245" t="s">
        <v>331</v>
      </c>
    </row>
    <row r="246" spans="1:12">
      <c r="A246">
        <v>255</v>
      </c>
      <c r="B246" t="s">
        <v>484</v>
      </c>
      <c r="C246" t="s">
        <v>421</v>
      </c>
      <c r="D246" s="130" t="s">
        <v>549</v>
      </c>
      <c r="E246">
        <v>500</v>
      </c>
      <c r="F246">
        <v>27</v>
      </c>
      <c r="G246">
        <v>770</v>
      </c>
      <c r="H246">
        <v>20</v>
      </c>
      <c r="I246">
        <f t="shared" si="8"/>
        <v>10</v>
      </c>
      <c r="J246" s="96">
        <f t="shared" si="9"/>
        <v>245.09861236151883</v>
      </c>
      <c r="K246" t="s">
        <v>333</v>
      </c>
      <c r="L246" t="s">
        <v>331</v>
      </c>
    </row>
    <row r="247" spans="1:12">
      <c r="A247">
        <v>256</v>
      </c>
      <c r="B247" t="s">
        <v>556</v>
      </c>
      <c r="C247" t="s">
        <v>421</v>
      </c>
      <c r="D247" s="130" t="s">
        <v>410</v>
      </c>
      <c r="E247">
        <v>500</v>
      </c>
      <c r="F247">
        <v>19</v>
      </c>
      <c r="G247">
        <v>690</v>
      </c>
      <c r="H247">
        <v>13</v>
      </c>
      <c r="I247">
        <f t="shared" si="8"/>
        <v>6.5</v>
      </c>
      <c r="J247" s="96">
        <f t="shared" si="9"/>
        <v>219.63382146681556</v>
      </c>
      <c r="K247" t="s">
        <v>333</v>
      </c>
      <c r="L247" t="s">
        <v>331</v>
      </c>
    </row>
    <row r="248" spans="1:12">
      <c r="A248">
        <v>307</v>
      </c>
      <c r="B248" t="s">
        <v>557</v>
      </c>
      <c r="C248" t="s">
        <v>421</v>
      </c>
      <c r="D248" s="130" t="s">
        <v>410</v>
      </c>
      <c r="E248">
        <v>500</v>
      </c>
      <c r="F248">
        <v>22</v>
      </c>
      <c r="G248">
        <v>700</v>
      </c>
      <c r="H248">
        <v>26</v>
      </c>
      <c r="I248">
        <f t="shared" si="8"/>
        <v>13</v>
      </c>
      <c r="J248" s="96">
        <f t="shared" si="9"/>
        <v>222.81692032865348</v>
      </c>
      <c r="K248" t="s">
        <v>333</v>
      </c>
      <c r="L248" t="s">
        <v>331</v>
      </c>
    </row>
    <row r="249" spans="1:12">
      <c r="A249">
        <v>152</v>
      </c>
      <c r="B249" t="s">
        <v>558</v>
      </c>
      <c r="C249" t="s">
        <v>421</v>
      </c>
      <c r="D249" s="130" t="s">
        <v>559</v>
      </c>
      <c r="E249">
        <v>500</v>
      </c>
      <c r="F249">
        <v>26</v>
      </c>
      <c r="G249">
        <v>740</v>
      </c>
      <c r="H249">
        <v>17</v>
      </c>
      <c r="I249">
        <f t="shared" si="8"/>
        <v>8.5</v>
      </c>
      <c r="J249" s="96">
        <f t="shared" si="9"/>
        <v>235.5493157760051</v>
      </c>
      <c r="L249" t="s">
        <v>354</v>
      </c>
    </row>
    <row r="250" spans="1:12">
      <c r="A250">
        <v>185</v>
      </c>
      <c r="B250" t="s">
        <v>560</v>
      </c>
      <c r="C250" t="s">
        <v>421</v>
      </c>
      <c r="D250" s="130" t="s">
        <v>410</v>
      </c>
      <c r="E250">
        <v>500</v>
      </c>
      <c r="F250">
        <v>34</v>
      </c>
      <c r="G250">
        <v>790</v>
      </c>
      <c r="H250">
        <v>34</v>
      </c>
      <c r="I250">
        <f t="shared" si="8"/>
        <v>17</v>
      </c>
      <c r="J250" s="96">
        <f t="shared" si="9"/>
        <v>251.46481008519464</v>
      </c>
      <c r="L250" t="s">
        <v>354</v>
      </c>
    </row>
    <row r="251" spans="1:12">
      <c r="A251">
        <v>5</v>
      </c>
      <c r="B251" t="s">
        <v>561</v>
      </c>
      <c r="C251" t="s">
        <v>421</v>
      </c>
      <c r="D251" s="130" t="s">
        <v>413</v>
      </c>
      <c r="E251">
        <v>550</v>
      </c>
      <c r="F251">
        <v>26</v>
      </c>
      <c r="G251">
        <v>870</v>
      </c>
      <c r="H251">
        <v>16</v>
      </c>
      <c r="I251">
        <f t="shared" si="8"/>
        <v>8</v>
      </c>
      <c r="J251" s="96">
        <f t="shared" si="9"/>
        <v>276.92960097989788</v>
      </c>
      <c r="L251" t="s">
        <v>331</v>
      </c>
    </row>
    <row r="252" spans="1:12">
      <c r="A252">
        <v>10</v>
      </c>
      <c r="B252" t="s">
        <v>472</v>
      </c>
      <c r="C252" t="s">
        <v>421</v>
      </c>
      <c r="D252" s="130" t="s">
        <v>413</v>
      </c>
      <c r="E252">
        <v>550</v>
      </c>
      <c r="F252">
        <v>18</v>
      </c>
      <c r="G252">
        <v>700</v>
      </c>
      <c r="H252">
        <v>15</v>
      </c>
      <c r="I252">
        <f t="shared" si="8"/>
        <v>7.5</v>
      </c>
      <c r="J252" s="96">
        <f t="shared" si="9"/>
        <v>222.81692032865348</v>
      </c>
      <c r="L252" t="s">
        <v>331</v>
      </c>
    </row>
    <row r="253" spans="1:12">
      <c r="A253">
        <v>26</v>
      </c>
      <c r="B253" t="s">
        <v>499</v>
      </c>
      <c r="C253" t="s">
        <v>421</v>
      </c>
      <c r="D253" s="130" t="s">
        <v>413</v>
      </c>
      <c r="E253">
        <v>550</v>
      </c>
      <c r="F253">
        <v>26</v>
      </c>
      <c r="G253">
        <v>700</v>
      </c>
      <c r="H253">
        <v>21</v>
      </c>
      <c r="I253">
        <f t="shared" si="8"/>
        <v>10.5</v>
      </c>
      <c r="J253" s="96">
        <f t="shared" si="9"/>
        <v>222.81692032865348</v>
      </c>
      <c r="L253" t="s">
        <v>331</v>
      </c>
    </row>
    <row r="254" spans="1:12">
      <c r="A254">
        <v>78</v>
      </c>
      <c r="B254" t="s">
        <v>523</v>
      </c>
      <c r="C254" t="s">
        <v>421</v>
      </c>
      <c r="D254" s="130" t="s">
        <v>413</v>
      </c>
      <c r="E254">
        <v>550</v>
      </c>
      <c r="F254">
        <v>26</v>
      </c>
      <c r="G254">
        <v>710</v>
      </c>
      <c r="H254">
        <v>15</v>
      </c>
      <c r="I254">
        <f t="shared" si="8"/>
        <v>7.5</v>
      </c>
      <c r="J254" s="96">
        <f t="shared" si="9"/>
        <v>226.00001919049137</v>
      </c>
      <c r="L254" t="s">
        <v>331</v>
      </c>
    </row>
    <row r="255" spans="1:12">
      <c r="A255">
        <v>114</v>
      </c>
      <c r="B255" t="s">
        <v>562</v>
      </c>
      <c r="C255" t="s">
        <v>421</v>
      </c>
      <c r="D255" s="130" t="s">
        <v>413</v>
      </c>
      <c r="E255">
        <v>550</v>
      </c>
      <c r="F255">
        <v>22</v>
      </c>
      <c r="G255">
        <v>700</v>
      </c>
      <c r="H255">
        <v>20</v>
      </c>
      <c r="I255">
        <f t="shared" si="8"/>
        <v>10</v>
      </c>
      <c r="J255" s="96">
        <f t="shared" si="9"/>
        <v>222.81692032865348</v>
      </c>
      <c r="L255" t="s">
        <v>331</v>
      </c>
    </row>
    <row r="256" spans="1:12">
      <c r="A256">
        <v>130</v>
      </c>
      <c r="B256" t="s">
        <v>563</v>
      </c>
      <c r="C256" t="s">
        <v>421</v>
      </c>
      <c r="D256" s="130" t="s">
        <v>413</v>
      </c>
      <c r="E256">
        <v>550</v>
      </c>
      <c r="F256">
        <v>31</v>
      </c>
      <c r="G256">
        <v>700</v>
      </c>
      <c r="H256">
        <v>20</v>
      </c>
      <c r="I256">
        <f t="shared" si="8"/>
        <v>10</v>
      </c>
      <c r="J256" s="96">
        <f t="shared" si="9"/>
        <v>222.81692032865348</v>
      </c>
      <c r="L256" t="s">
        <v>331</v>
      </c>
    </row>
    <row r="257" spans="1:12">
      <c r="A257">
        <v>140</v>
      </c>
      <c r="B257" t="s">
        <v>467</v>
      </c>
      <c r="C257" t="s">
        <v>421</v>
      </c>
      <c r="D257" s="130" t="s">
        <v>413</v>
      </c>
      <c r="E257">
        <v>550</v>
      </c>
      <c r="F257">
        <v>21</v>
      </c>
      <c r="G257">
        <v>805</v>
      </c>
      <c r="H257">
        <v>23</v>
      </c>
      <c r="I257">
        <f t="shared" si="8"/>
        <v>11.5</v>
      </c>
      <c r="J257" s="96">
        <f t="shared" si="9"/>
        <v>256.23945837795151</v>
      </c>
      <c r="L257" t="s">
        <v>331</v>
      </c>
    </row>
    <row r="258" spans="1:12">
      <c r="A258">
        <v>159</v>
      </c>
      <c r="B258" t="s">
        <v>564</v>
      </c>
      <c r="C258" t="s">
        <v>421</v>
      </c>
      <c r="D258" s="130" t="s">
        <v>413</v>
      </c>
      <c r="E258">
        <v>550</v>
      </c>
      <c r="F258">
        <v>22</v>
      </c>
      <c r="G258">
        <v>715</v>
      </c>
      <c r="H258">
        <v>29</v>
      </c>
      <c r="I258">
        <f t="shared" si="8"/>
        <v>14.5</v>
      </c>
      <c r="J258" s="96">
        <f t="shared" si="9"/>
        <v>227.59156862141035</v>
      </c>
      <c r="L258" t="s">
        <v>331</v>
      </c>
    </row>
    <row r="259" spans="1:12">
      <c r="A259">
        <v>191</v>
      </c>
      <c r="B259" t="s">
        <v>331</v>
      </c>
      <c r="C259" t="s">
        <v>421</v>
      </c>
      <c r="D259" s="130" t="s">
        <v>413</v>
      </c>
      <c r="E259">
        <v>550</v>
      </c>
      <c r="F259">
        <v>24</v>
      </c>
      <c r="G259">
        <v>810</v>
      </c>
      <c r="H259">
        <v>25</v>
      </c>
      <c r="I259">
        <f t="shared" si="8"/>
        <v>12.5</v>
      </c>
      <c r="J259" s="96">
        <f t="shared" si="9"/>
        <v>257.83100780887048</v>
      </c>
      <c r="K259" t="s">
        <v>333</v>
      </c>
      <c r="L259" t="s">
        <v>331</v>
      </c>
    </row>
    <row r="260" spans="1:12">
      <c r="A260">
        <v>243</v>
      </c>
      <c r="B260" t="s">
        <v>483</v>
      </c>
      <c r="C260" t="s">
        <v>421</v>
      </c>
      <c r="D260" s="130">
        <v>550</v>
      </c>
      <c r="E260">
        <v>550</v>
      </c>
      <c r="F260">
        <v>25</v>
      </c>
      <c r="G260">
        <v>600</v>
      </c>
      <c r="H260">
        <v>18</v>
      </c>
      <c r="I260">
        <f t="shared" si="8"/>
        <v>9</v>
      </c>
      <c r="J260" s="96">
        <f t="shared" si="9"/>
        <v>190.9859317102744</v>
      </c>
      <c r="L260" t="s">
        <v>331</v>
      </c>
    </row>
    <row r="261" spans="1:12">
      <c r="A261">
        <v>244</v>
      </c>
      <c r="B261" t="s">
        <v>483</v>
      </c>
      <c r="C261" t="s">
        <v>421</v>
      </c>
      <c r="D261" s="130" t="s">
        <v>413</v>
      </c>
      <c r="E261">
        <v>550</v>
      </c>
      <c r="F261">
        <v>24</v>
      </c>
      <c r="G261">
        <v>745</v>
      </c>
      <c r="H261">
        <v>16</v>
      </c>
      <c r="I261">
        <f t="shared" si="8"/>
        <v>8</v>
      </c>
      <c r="J261" s="96">
        <f t="shared" si="9"/>
        <v>237.14086520692405</v>
      </c>
      <c r="L261" t="s">
        <v>331</v>
      </c>
    </row>
    <row r="262" spans="1:12">
      <c r="A262">
        <v>253</v>
      </c>
      <c r="B262" t="s">
        <v>565</v>
      </c>
      <c r="C262" t="s">
        <v>421</v>
      </c>
      <c r="D262" s="130" t="s">
        <v>413</v>
      </c>
      <c r="E262">
        <v>550</v>
      </c>
      <c r="F262">
        <v>24</v>
      </c>
      <c r="G262">
        <v>710</v>
      </c>
      <c r="H262">
        <v>15</v>
      </c>
      <c r="I262">
        <f t="shared" si="8"/>
        <v>7.5</v>
      </c>
      <c r="J262" s="96">
        <f t="shared" si="9"/>
        <v>226.00001919049137</v>
      </c>
      <c r="L262" t="s">
        <v>331</v>
      </c>
    </row>
    <row r="263" spans="1:12">
      <c r="A263">
        <v>303</v>
      </c>
      <c r="B263" t="s">
        <v>566</v>
      </c>
      <c r="C263" t="s">
        <v>421</v>
      </c>
      <c r="D263" s="130" t="s">
        <v>413</v>
      </c>
      <c r="E263">
        <v>550</v>
      </c>
      <c r="F263">
        <v>26</v>
      </c>
      <c r="G263">
        <v>810</v>
      </c>
      <c r="H263">
        <v>20</v>
      </c>
      <c r="I263">
        <f t="shared" si="8"/>
        <v>10</v>
      </c>
      <c r="J263" s="96">
        <f t="shared" si="9"/>
        <v>257.83100780887048</v>
      </c>
      <c r="L263" t="s">
        <v>331</v>
      </c>
    </row>
    <row r="264" spans="1:12">
      <c r="A264">
        <v>306</v>
      </c>
      <c r="B264" t="s">
        <v>567</v>
      </c>
      <c r="C264" t="s">
        <v>421</v>
      </c>
      <c r="D264" s="130" t="s">
        <v>413</v>
      </c>
      <c r="E264">
        <v>550</v>
      </c>
      <c r="F264">
        <v>21</v>
      </c>
      <c r="G264">
        <v>820</v>
      </c>
      <c r="H264">
        <v>18</v>
      </c>
      <c r="I264">
        <f t="shared" si="8"/>
        <v>9</v>
      </c>
      <c r="J264" s="96">
        <f t="shared" si="9"/>
        <v>261.01410667070837</v>
      </c>
      <c r="L264" t="s">
        <v>331</v>
      </c>
    </row>
    <row r="265" spans="1:12">
      <c r="A265">
        <v>121</v>
      </c>
      <c r="B265" t="s">
        <v>568</v>
      </c>
      <c r="C265" t="s">
        <v>421</v>
      </c>
      <c r="D265" s="130" t="s">
        <v>413</v>
      </c>
      <c r="E265">
        <v>550</v>
      </c>
      <c r="F265">
        <v>26</v>
      </c>
      <c r="G265">
        <v>665</v>
      </c>
      <c r="H265">
        <v>20</v>
      </c>
      <c r="I265">
        <f t="shared" si="8"/>
        <v>10</v>
      </c>
      <c r="J265" s="96">
        <f t="shared" si="9"/>
        <v>211.67607431222081</v>
      </c>
      <c r="K265" t="s">
        <v>333</v>
      </c>
      <c r="L265" t="s">
        <v>354</v>
      </c>
    </row>
    <row r="266" spans="1:12">
      <c r="A266">
        <v>204</v>
      </c>
      <c r="B266" t="s">
        <v>569</v>
      </c>
      <c r="C266" t="s">
        <v>421</v>
      </c>
      <c r="D266" s="130" t="s">
        <v>413</v>
      </c>
      <c r="E266">
        <v>550</v>
      </c>
      <c r="F266">
        <v>21</v>
      </c>
      <c r="G266">
        <v>780</v>
      </c>
      <c r="H266">
        <v>26</v>
      </c>
      <c r="I266">
        <f t="shared" si="8"/>
        <v>13</v>
      </c>
      <c r="J266" s="96">
        <f t="shared" si="9"/>
        <v>248.28171122335672</v>
      </c>
      <c r="L266" t="s">
        <v>354</v>
      </c>
    </row>
    <row r="267" spans="1:12">
      <c r="A267">
        <v>23</v>
      </c>
      <c r="B267" t="s">
        <v>570</v>
      </c>
      <c r="C267" t="s">
        <v>421</v>
      </c>
      <c r="D267" s="130" t="s">
        <v>413</v>
      </c>
      <c r="E267">
        <v>550</v>
      </c>
      <c r="F267">
        <v>34</v>
      </c>
      <c r="G267">
        <v>760</v>
      </c>
      <c r="H267">
        <v>28</v>
      </c>
      <c r="I267">
        <f t="shared" si="8"/>
        <v>14</v>
      </c>
      <c r="J267" s="96">
        <f t="shared" si="9"/>
        <v>241.91551349968091</v>
      </c>
      <c r="K267" t="s">
        <v>333</v>
      </c>
      <c r="L267" t="s">
        <v>315</v>
      </c>
    </row>
    <row r="268" spans="1:12">
      <c r="A268">
        <v>100</v>
      </c>
      <c r="B268" t="s">
        <v>571</v>
      </c>
      <c r="C268" t="s">
        <v>421</v>
      </c>
      <c r="D268" s="130" t="s">
        <v>413</v>
      </c>
      <c r="E268">
        <v>550</v>
      </c>
      <c r="F268">
        <v>15</v>
      </c>
      <c r="G268">
        <v>690</v>
      </c>
      <c r="H268">
        <v>14</v>
      </c>
      <c r="I268">
        <f t="shared" si="8"/>
        <v>7</v>
      </c>
      <c r="J268" s="96">
        <f t="shared" si="9"/>
        <v>219.63382146681556</v>
      </c>
      <c r="K268" t="s">
        <v>333</v>
      </c>
      <c r="L268" t="s">
        <v>315</v>
      </c>
    </row>
    <row r="269" spans="1:12">
      <c r="A269">
        <v>289</v>
      </c>
      <c r="B269" t="s">
        <v>572</v>
      </c>
      <c r="C269" t="s">
        <v>421</v>
      </c>
      <c r="D269" s="130" t="s">
        <v>573</v>
      </c>
      <c r="E269">
        <v>600</v>
      </c>
      <c r="F269">
        <v>25</v>
      </c>
      <c r="G269">
        <v>890</v>
      </c>
      <c r="H269">
        <v>20</v>
      </c>
      <c r="I269">
        <f t="shared" si="8"/>
        <v>10</v>
      </c>
      <c r="J269" s="96">
        <f t="shared" si="9"/>
        <v>283.29579870357372</v>
      </c>
      <c r="L269" t="s">
        <v>331</v>
      </c>
    </row>
    <row r="270" spans="1:12">
      <c r="A270">
        <v>182</v>
      </c>
      <c r="B270" t="s">
        <v>574</v>
      </c>
      <c r="C270" t="s">
        <v>421</v>
      </c>
      <c r="D270" s="130">
        <v>650</v>
      </c>
      <c r="E270">
        <v>650</v>
      </c>
      <c r="F270">
        <v>22</v>
      </c>
      <c r="G270">
        <v>540</v>
      </c>
      <c r="H270">
        <v>18</v>
      </c>
      <c r="I270">
        <f t="shared" si="8"/>
        <v>9</v>
      </c>
      <c r="J270" s="96">
        <f t="shared" si="9"/>
        <v>171.88733853924697</v>
      </c>
      <c r="L270" t="s">
        <v>315</v>
      </c>
    </row>
    <row r="271" spans="1:12">
      <c r="A271">
        <v>270</v>
      </c>
      <c r="B271" t="s">
        <v>403</v>
      </c>
      <c r="C271" t="s">
        <v>421</v>
      </c>
      <c r="D271" s="130" t="s">
        <v>575</v>
      </c>
      <c r="E271">
        <v>700</v>
      </c>
      <c r="F271">
        <v>26</v>
      </c>
      <c r="G271">
        <v>850</v>
      </c>
      <c r="H271">
        <v>28</v>
      </c>
      <c r="I271">
        <f t="shared" si="8"/>
        <v>14</v>
      </c>
      <c r="J271" s="96">
        <f t="shared" si="9"/>
        <v>270.5634032562221</v>
      </c>
      <c r="K271" t="s">
        <v>576</v>
      </c>
      <c r="L271" t="s">
        <v>331</v>
      </c>
    </row>
    <row r="272" spans="1:12">
      <c r="A272">
        <v>248</v>
      </c>
      <c r="B272" t="s">
        <v>577</v>
      </c>
      <c r="C272" t="s">
        <v>421</v>
      </c>
      <c r="D272" s="130" t="s">
        <v>578</v>
      </c>
      <c r="E272">
        <v>775</v>
      </c>
      <c r="F272">
        <v>26</v>
      </c>
      <c r="G272">
        <v>960</v>
      </c>
      <c r="H272">
        <v>24</v>
      </c>
      <c r="I272">
        <f t="shared" si="8"/>
        <v>12</v>
      </c>
      <c r="J272" s="96">
        <f t="shared" si="9"/>
        <v>305.57749073643907</v>
      </c>
      <c r="L272" t="s">
        <v>331</v>
      </c>
    </row>
    <row r="273" spans="1:12">
      <c r="A273">
        <v>88</v>
      </c>
      <c r="B273" t="s">
        <v>520</v>
      </c>
      <c r="C273" t="s">
        <v>421</v>
      </c>
      <c r="D273" s="130" t="s">
        <v>579</v>
      </c>
      <c r="E273">
        <v>950</v>
      </c>
      <c r="F273">
        <v>22</v>
      </c>
      <c r="G273">
        <v>860</v>
      </c>
      <c r="H273">
        <v>13</v>
      </c>
      <c r="I273">
        <f t="shared" si="8"/>
        <v>6.5</v>
      </c>
      <c r="J273" s="96">
        <f t="shared" si="9"/>
        <v>273.74650211805999</v>
      </c>
      <c r="L273" t="s">
        <v>354</v>
      </c>
    </row>
    <row r="274" spans="1:12">
      <c r="A274">
        <v>88</v>
      </c>
      <c r="B274" t="s">
        <v>520</v>
      </c>
      <c r="C274" t="s">
        <v>421</v>
      </c>
      <c r="D274" s="130">
        <v>1200</v>
      </c>
      <c r="E274">
        <v>1200</v>
      </c>
      <c r="F274">
        <v>35</v>
      </c>
      <c r="G274">
        <v>1100</v>
      </c>
      <c r="H274">
        <v>29</v>
      </c>
      <c r="I274">
        <f t="shared" si="8"/>
        <v>14.5</v>
      </c>
      <c r="J274" s="96">
        <f t="shared" si="9"/>
        <v>350.14087480216978</v>
      </c>
      <c r="L274" t="s">
        <v>354</v>
      </c>
    </row>
    <row r="275" spans="1:12">
      <c r="A275">
        <v>99</v>
      </c>
      <c r="B275" t="s">
        <v>580</v>
      </c>
      <c r="C275" t="s">
        <v>581</v>
      </c>
      <c r="D275" s="130" t="s">
        <v>341</v>
      </c>
      <c r="E275">
        <v>275</v>
      </c>
      <c r="F275">
        <v>40</v>
      </c>
      <c r="G275">
        <v>485</v>
      </c>
      <c r="H275">
        <v>20</v>
      </c>
      <c r="I275">
        <f t="shared" si="8"/>
        <v>10</v>
      </c>
      <c r="J275" s="96">
        <f t="shared" si="9"/>
        <v>154.38029479913848</v>
      </c>
      <c r="L275" t="s">
        <v>331</v>
      </c>
    </row>
    <row r="276" spans="1:12">
      <c r="A276">
        <v>267</v>
      </c>
      <c r="B276" t="s">
        <v>485</v>
      </c>
      <c r="C276" t="s">
        <v>581</v>
      </c>
      <c r="D276" s="130" t="s">
        <v>382</v>
      </c>
      <c r="E276">
        <v>350</v>
      </c>
      <c r="F276">
        <v>17</v>
      </c>
      <c r="G276">
        <v>450</v>
      </c>
      <c r="H276">
        <v>19</v>
      </c>
      <c r="I276">
        <f t="shared" si="8"/>
        <v>9.5</v>
      </c>
      <c r="J276" s="96">
        <f t="shared" si="9"/>
        <v>143.23944878270581</v>
      </c>
      <c r="L276" t="s">
        <v>331</v>
      </c>
    </row>
    <row r="277" spans="1:12">
      <c r="A277">
        <v>38</v>
      </c>
      <c r="B277" t="s">
        <v>582</v>
      </c>
      <c r="C277" t="s">
        <v>581</v>
      </c>
      <c r="D277" s="130">
        <v>350</v>
      </c>
      <c r="E277" s="130">
        <v>350</v>
      </c>
      <c r="F277">
        <v>18</v>
      </c>
      <c r="G277">
        <v>490</v>
      </c>
      <c r="H277">
        <v>27</v>
      </c>
      <c r="I277">
        <f t="shared" si="8"/>
        <v>13.5</v>
      </c>
      <c r="J277" s="96">
        <f t="shared" si="9"/>
        <v>155.97184423005743</v>
      </c>
      <c r="K277" t="s">
        <v>333</v>
      </c>
      <c r="L277" t="s">
        <v>322</v>
      </c>
    </row>
    <row r="278" spans="1:12">
      <c r="A278">
        <v>70</v>
      </c>
      <c r="B278" t="s">
        <v>583</v>
      </c>
      <c r="C278" t="s">
        <v>581</v>
      </c>
      <c r="D278" s="130" t="s">
        <v>390</v>
      </c>
      <c r="E278">
        <v>375</v>
      </c>
      <c r="F278">
        <v>25</v>
      </c>
      <c r="G278">
        <v>505</v>
      </c>
      <c r="H278">
        <v>28</v>
      </c>
      <c r="I278">
        <f t="shared" si="8"/>
        <v>14</v>
      </c>
      <c r="J278" s="96">
        <f t="shared" si="9"/>
        <v>160.74649252281429</v>
      </c>
      <c r="L278" t="s">
        <v>331</v>
      </c>
    </row>
    <row r="279" spans="1:12">
      <c r="A279">
        <v>249</v>
      </c>
      <c r="B279" t="s">
        <v>584</v>
      </c>
      <c r="C279" t="s">
        <v>581</v>
      </c>
      <c r="D279" s="130" t="s">
        <v>390</v>
      </c>
      <c r="E279">
        <v>375</v>
      </c>
      <c r="F279">
        <v>23</v>
      </c>
      <c r="G279">
        <v>400</v>
      </c>
      <c r="H279">
        <v>19</v>
      </c>
      <c r="I279">
        <f t="shared" si="8"/>
        <v>9.5</v>
      </c>
      <c r="J279" s="96">
        <f t="shared" si="9"/>
        <v>127.32395447351627</v>
      </c>
      <c r="L279" t="s">
        <v>331</v>
      </c>
    </row>
    <row r="280" spans="1:12">
      <c r="A280">
        <v>179</v>
      </c>
      <c r="B280" t="s">
        <v>585</v>
      </c>
      <c r="C280" t="s">
        <v>581</v>
      </c>
      <c r="D280" s="130">
        <v>400</v>
      </c>
      <c r="E280">
        <v>400</v>
      </c>
      <c r="F280">
        <v>27</v>
      </c>
      <c r="G280">
        <v>455</v>
      </c>
      <c r="H280">
        <v>20</v>
      </c>
      <c r="I280">
        <f t="shared" si="8"/>
        <v>10</v>
      </c>
      <c r="J280" s="96">
        <f t="shared" si="9"/>
        <v>144.83099821362475</v>
      </c>
      <c r="L280" t="s">
        <v>354</v>
      </c>
    </row>
    <row r="281" spans="1:12">
      <c r="A281">
        <v>68</v>
      </c>
      <c r="B281" t="s">
        <v>586</v>
      </c>
      <c r="C281" t="s">
        <v>581</v>
      </c>
      <c r="D281" s="130" t="s">
        <v>399</v>
      </c>
      <c r="E281">
        <v>425</v>
      </c>
      <c r="F281">
        <v>24</v>
      </c>
      <c r="G281">
        <v>630</v>
      </c>
      <c r="H281">
        <v>11</v>
      </c>
      <c r="I281">
        <f t="shared" si="8"/>
        <v>5.5</v>
      </c>
      <c r="J281" s="96">
        <f t="shared" si="9"/>
        <v>200.53522829578813</v>
      </c>
      <c r="L281" t="s">
        <v>331</v>
      </c>
    </row>
    <row r="282" spans="1:12">
      <c r="A282">
        <v>112</v>
      </c>
      <c r="B282" t="s">
        <v>587</v>
      </c>
      <c r="C282" t="s">
        <v>581</v>
      </c>
      <c r="D282" s="130" t="s">
        <v>401</v>
      </c>
      <c r="E282">
        <v>450</v>
      </c>
      <c r="F282">
        <v>30</v>
      </c>
      <c r="G282">
        <v>505</v>
      </c>
      <c r="H282">
        <v>15</v>
      </c>
      <c r="I282">
        <f t="shared" si="8"/>
        <v>7.5</v>
      </c>
      <c r="J282" s="96">
        <f t="shared" si="9"/>
        <v>160.74649252281429</v>
      </c>
      <c r="L282" t="s">
        <v>331</v>
      </c>
    </row>
    <row r="283" spans="1:12">
      <c r="A283">
        <v>147</v>
      </c>
      <c r="B283" t="s">
        <v>386</v>
      </c>
      <c r="C283" t="s">
        <v>581</v>
      </c>
      <c r="D283" s="130" t="s">
        <v>401</v>
      </c>
      <c r="E283">
        <v>450</v>
      </c>
      <c r="F283">
        <v>17</v>
      </c>
      <c r="G283">
        <v>550</v>
      </c>
      <c r="H283">
        <v>20</v>
      </c>
      <c r="I283">
        <f t="shared" si="8"/>
        <v>10</v>
      </c>
      <c r="J283" s="96">
        <f t="shared" si="9"/>
        <v>175.07043740108489</v>
      </c>
      <c r="L283" t="s">
        <v>331</v>
      </c>
    </row>
    <row r="284" spans="1:12">
      <c r="A284">
        <v>84</v>
      </c>
      <c r="B284" t="s">
        <v>588</v>
      </c>
      <c r="C284" t="s">
        <v>581</v>
      </c>
      <c r="D284" s="130" t="s">
        <v>401</v>
      </c>
      <c r="E284">
        <v>450</v>
      </c>
      <c r="F284">
        <v>15</v>
      </c>
      <c r="G284">
        <v>370</v>
      </c>
      <c r="H284">
        <v>13</v>
      </c>
      <c r="I284">
        <f t="shared" si="8"/>
        <v>6.5</v>
      </c>
      <c r="J284" s="96">
        <f t="shared" si="9"/>
        <v>117.77465788800255</v>
      </c>
      <c r="K284" t="s">
        <v>333</v>
      </c>
      <c r="L284" t="s">
        <v>315</v>
      </c>
    </row>
    <row r="285" spans="1:12">
      <c r="A285">
        <v>4</v>
      </c>
      <c r="B285" t="s">
        <v>561</v>
      </c>
      <c r="C285" t="s">
        <v>581</v>
      </c>
      <c r="D285" s="130">
        <v>500</v>
      </c>
      <c r="E285">
        <v>500</v>
      </c>
      <c r="F285">
        <v>28</v>
      </c>
      <c r="G285">
        <v>705</v>
      </c>
      <c r="H285">
        <v>18</v>
      </c>
      <c r="I285">
        <f t="shared" si="8"/>
        <v>9</v>
      </c>
      <c r="J285" s="96">
        <f t="shared" si="9"/>
        <v>224.40846975957243</v>
      </c>
      <c r="L285" t="s">
        <v>331</v>
      </c>
    </row>
    <row r="286" spans="1:12">
      <c r="A286">
        <v>105</v>
      </c>
      <c r="B286" t="s">
        <v>509</v>
      </c>
      <c r="C286" t="s">
        <v>581</v>
      </c>
      <c r="D286" s="130">
        <v>500</v>
      </c>
      <c r="E286">
        <v>500</v>
      </c>
      <c r="F286">
        <v>32</v>
      </c>
      <c r="G286">
        <v>350</v>
      </c>
      <c r="H286">
        <v>15</v>
      </c>
      <c r="I286">
        <f t="shared" si="8"/>
        <v>7.5</v>
      </c>
      <c r="J286" s="96">
        <f t="shared" si="9"/>
        <v>111.40846016432674</v>
      </c>
      <c r="L286" t="s">
        <v>331</v>
      </c>
    </row>
    <row r="287" spans="1:12">
      <c r="A287">
        <v>9</v>
      </c>
      <c r="B287" t="s">
        <v>503</v>
      </c>
      <c r="C287" t="s">
        <v>581</v>
      </c>
      <c r="D287" s="130" t="s">
        <v>413</v>
      </c>
      <c r="E287">
        <v>550</v>
      </c>
      <c r="F287">
        <v>26</v>
      </c>
      <c r="G287">
        <v>710</v>
      </c>
      <c r="H287">
        <v>25</v>
      </c>
      <c r="I287">
        <f t="shared" si="8"/>
        <v>12.5</v>
      </c>
      <c r="J287" s="96">
        <f t="shared" si="9"/>
        <v>226.00001919049137</v>
      </c>
      <c r="L287" t="s">
        <v>331</v>
      </c>
    </row>
    <row r="288" spans="1:12">
      <c r="A288">
        <v>44</v>
      </c>
      <c r="B288" t="s">
        <v>589</v>
      </c>
      <c r="C288" t="s">
        <v>581</v>
      </c>
      <c r="D288" s="130" t="s">
        <v>413</v>
      </c>
      <c r="E288">
        <v>550</v>
      </c>
      <c r="F288">
        <v>20</v>
      </c>
      <c r="G288">
        <v>485</v>
      </c>
      <c r="H288">
        <v>14</v>
      </c>
      <c r="I288">
        <f t="shared" si="8"/>
        <v>7</v>
      </c>
      <c r="J288" s="96">
        <f t="shared" si="9"/>
        <v>154.38029479913848</v>
      </c>
      <c r="L288" t="s">
        <v>331</v>
      </c>
    </row>
    <row r="289" spans="1:12">
      <c r="A289">
        <v>156</v>
      </c>
      <c r="B289" t="s">
        <v>590</v>
      </c>
      <c r="C289" t="s">
        <v>581</v>
      </c>
      <c r="D289" s="130" t="s">
        <v>413</v>
      </c>
      <c r="E289">
        <v>550</v>
      </c>
      <c r="F289">
        <v>25</v>
      </c>
      <c r="G289">
        <v>710</v>
      </c>
      <c r="H289">
        <v>28</v>
      </c>
      <c r="I289">
        <f t="shared" si="8"/>
        <v>14</v>
      </c>
      <c r="J289" s="96">
        <f t="shared" si="9"/>
        <v>226.00001919049137</v>
      </c>
      <c r="L289" t="s">
        <v>331</v>
      </c>
    </row>
    <row r="290" spans="1:12">
      <c r="A290">
        <v>178</v>
      </c>
      <c r="B290" t="s">
        <v>361</v>
      </c>
      <c r="C290" t="s">
        <v>581</v>
      </c>
      <c r="D290" s="130" t="s">
        <v>591</v>
      </c>
      <c r="E290">
        <v>750</v>
      </c>
      <c r="F290">
        <v>19</v>
      </c>
      <c r="G290">
        <v>840</v>
      </c>
      <c r="H290">
        <v>17</v>
      </c>
      <c r="I290">
        <f t="shared" si="8"/>
        <v>8.5</v>
      </c>
      <c r="J290" s="96">
        <f t="shared" si="9"/>
        <v>267.38030439438415</v>
      </c>
      <c r="L290" t="s">
        <v>354</v>
      </c>
    </row>
    <row r="291" spans="1:12">
      <c r="A291">
        <v>89</v>
      </c>
      <c r="B291" t="s">
        <v>592</v>
      </c>
      <c r="C291" t="s">
        <v>581</v>
      </c>
      <c r="D291" s="130">
        <v>800</v>
      </c>
      <c r="E291">
        <v>800</v>
      </c>
      <c r="F291">
        <v>25</v>
      </c>
      <c r="G291">
        <v>450</v>
      </c>
      <c r="H291">
        <v>12</v>
      </c>
      <c r="I291">
        <f t="shared" si="8"/>
        <v>6</v>
      </c>
      <c r="J291" s="96">
        <f t="shared" si="9"/>
        <v>143.23944878270581</v>
      </c>
      <c r="L291" t="s">
        <v>315</v>
      </c>
    </row>
    <row r="292" spans="1:12">
      <c r="D292" s="130"/>
      <c r="J292" s="96"/>
    </row>
    <row r="293" spans="1:12">
      <c r="C293" s="272" t="s">
        <v>871</v>
      </c>
    </row>
    <row r="294" spans="1:12">
      <c r="A294">
        <v>66</v>
      </c>
      <c r="B294" t="s">
        <v>593</v>
      </c>
      <c r="C294" t="s">
        <v>871</v>
      </c>
      <c r="D294" s="130">
        <v>150</v>
      </c>
      <c r="E294" s="130">
        <v>150</v>
      </c>
      <c r="F294">
        <v>10</v>
      </c>
      <c r="G294">
        <v>345</v>
      </c>
      <c r="H294">
        <v>12</v>
      </c>
      <c r="I294">
        <f t="shared" ref="I294:I303" si="10">H294/2</f>
        <v>6</v>
      </c>
      <c r="J294" s="96">
        <f t="shared" ref="J294:J303" si="11">G294/PI()</f>
        <v>109.81691073340778</v>
      </c>
      <c r="K294" t="s">
        <v>594</v>
      </c>
      <c r="L294" t="s">
        <v>322</v>
      </c>
    </row>
    <row r="295" spans="1:12">
      <c r="A295">
        <v>101</v>
      </c>
      <c r="B295" t="s">
        <v>595</v>
      </c>
      <c r="C295" t="s">
        <v>871</v>
      </c>
      <c r="D295" s="130">
        <v>200</v>
      </c>
      <c r="E295">
        <v>200</v>
      </c>
      <c r="F295">
        <v>22</v>
      </c>
      <c r="G295">
        <v>520</v>
      </c>
      <c r="H295">
        <v>16</v>
      </c>
      <c r="I295">
        <f t="shared" si="10"/>
        <v>8</v>
      </c>
      <c r="J295" s="96">
        <f t="shared" si="11"/>
        <v>165.52114081557116</v>
      </c>
      <c r="K295" t="s">
        <v>596</v>
      </c>
      <c r="L295" t="s">
        <v>331</v>
      </c>
    </row>
    <row r="296" spans="1:12">
      <c r="A296">
        <v>115</v>
      </c>
      <c r="B296" t="s">
        <v>509</v>
      </c>
      <c r="C296" t="s">
        <v>871</v>
      </c>
      <c r="D296" s="130">
        <v>200</v>
      </c>
      <c r="E296">
        <v>200</v>
      </c>
      <c r="F296">
        <v>30</v>
      </c>
      <c r="G296">
        <v>330</v>
      </c>
      <c r="H296">
        <v>8</v>
      </c>
      <c r="I296">
        <f t="shared" si="10"/>
        <v>4</v>
      </c>
      <c r="J296" s="96">
        <f t="shared" si="11"/>
        <v>105.04226244065093</v>
      </c>
      <c r="K296" t="s">
        <v>597</v>
      </c>
      <c r="L296" t="s">
        <v>331</v>
      </c>
    </row>
    <row r="297" spans="1:12">
      <c r="A297">
        <v>215</v>
      </c>
      <c r="B297" t="s">
        <v>527</v>
      </c>
      <c r="C297" t="s">
        <v>871</v>
      </c>
      <c r="D297" s="130" t="s">
        <v>598</v>
      </c>
      <c r="E297">
        <v>200</v>
      </c>
      <c r="F297">
        <v>30</v>
      </c>
      <c r="G297">
        <v>305</v>
      </c>
      <c r="H297">
        <v>10</v>
      </c>
      <c r="I297">
        <f t="shared" si="10"/>
        <v>5</v>
      </c>
      <c r="J297" s="96">
        <f t="shared" si="11"/>
        <v>97.08451528605616</v>
      </c>
      <c r="L297" t="s">
        <v>331</v>
      </c>
    </row>
    <row r="298" spans="1:12">
      <c r="A298">
        <v>207</v>
      </c>
      <c r="B298" t="s">
        <v>569</v>
      </c>
      <c r="C298" t="s">
        <v>871</v>
      </c>
      <c r="D298" s="130" t="s">
        <v>323</v>
      </c>
      <c r="E298">
        <v>225</v>
      </c>
      <c r="F298">
        <v>25</v>
      </c>
      <c r="G298">
        <v>310</v>
      </c>
      <c r="H298">
        <v>16</v>
      </c>
      <c r="I298">
        <f t="shared" si="10"/>
        <v>8</v>
      </c>
      <c r="J298" s="96">
        <f t="shared" si="11"/>
        <v>98.676064716975105</v>
      </c>
      <c r="K298" t="s">
        <v>599</v>
      </c>
      <c r="L298" t="s">
        <v>354</v>
      </c>
    </row>
    <row r="299" spans="1:12">
      <c r="A299">
        <v>134</v>
      </c>
      <c r="B299" t="s">
        <v>384</v>
      </c>
      <c r="C299" t="s">
        <v>871</v>
      </c>
      <c r="D299" s="130" t="s">
        <v>330</v>
      </c>
      <c r="E299">
        <v>250</v>
      </c>
      <c r="F299">
        <v>17</v>
      </c>
      <c r="G299">
        <v>415</v>
      </c>
      <c r="H299">
        <v>15</v>
      </c>
      <c r="I299">
        <f t="shared" si="10"/>
        <v>7.5</v>
      </c>
      <c r="J299" s="96">
        <f t="shared" si="11"/>
        <v>132.09860276627313</v>
      </c>
      <c r="L299" t="s">
        <v>331</v>
      </c>
    </row>
    <row r="300" spans="1:12">
      <c r="A300">
        <v>245</v>
      </c>
      <c r="B300" t="s">
        <v>600</v>
      </c>
      <c r="C300" t="s">
        <v>871</v>
      </c>
      <c r="D300" s="130" t="s">
        <v>330</v>
      </c>
      <c r="E300">
        <v>250</v>
      </c>
      <c r="F300">
        <v>21</v>
      </c>
      <c r="G300">
        <v>510</v>
      </c>
      <c r="H300">
        <v>16</v>
      </c>
      <c r="I300">
        <f t="shared" si="10"/>
        <v>8</v>
      </c>
      <c r="J300" s="96">
        <f t="shared" si="11"/>
        <v>162.33804195373324</v>
      </c>
      <c r="L300" t="s">
        <v>331</v>
      </c>
    </row>
    <row r="301" spans="1:12">
      <c r="A301">
        <v>257</v>
      </c>
      <c r="B301" t="s">
        <v>601</v>
      </c>
      <c r="C301" t="s">
        <v>871</v>
      </c>
      <c r="D301" s="130" t="s">
        <v>330</v>
      </c>
      <c r="E301">
        <v>250</v>
      </c>
      <c r="F301">
        <v>15</v>
      </c>
      <c r="G301">
        <v>540</v>
      </c>
      <c r="H301">
        <v>19</v>
      </c>
      <c r="I301">
        <f t="shared" si="10"/>
        <v>9.5</v>
      </c>
      <c r="J301" s="96">
        <f t="shared" si="11"/>
        <v>171.88733853924697</v>
      </c>
      <c r="L301" t="s">
        <v>331</v>
      </c>
    </row>
    <row r="302" spans="1:12">
      <c r="A302">
        <v>47</v>
      </c>
      <c r="B302" t="s">
        <v>602</v>
      </c>
      <c r="C302" t="s">
        <v>871</v>
      </c>
      <c r="D302" s="130" t="s">
        <v>330</v>
      </c>
      <c r="E302">
        <v>250</v>
      </c>
      <c r="F302">
        <v>31</v>
      </c>
      <c r="G302">
        <v>680</v>
      </c>
      <c r="H302">
        <v>25</v>
      </c>
      <c r="I302">
        <f t="shared" si="10"/>
        <v>12.5</v>
      </c>
      <c r="J302" s="96">
        <f t="shared" si="11"/>
        <v>216.45072260497767</v>
      </c>
      <c r="K302" t="s">
        <v>603</v>
      </c>
      <c r="L302" t="s">
        <v>315</v>
      </c>
    </row>
    <row r="303" spans="1:12">
      <c r="A303">
        <v>161</v>
      </c>
      <c r="B303" t="s">
        <v>604</v>
      </c>
      <c r="C303" t="s">
        <v>871</v>
      </c>
      <c r="D303" s="130" t="s">
        <v>341</v>
      </c>
      <c r="E303">
        <v>275</v>
      </c>
      <c r="F303">
        <v>15</v>
      </c>
      <c r="G303">
        <v>620</v>
      </c>
      <c r="H303">
        <v>15</v>
      </c>
      <c r="I303">
        <f t="shared" si="10"/>
        <v>7.5</v>
      </c>
      <c r="J303" s="96">
        <f t="shared" si="11"/>
        <v>197.35212943395021</v>
      </c>
      <c r="L303" t="s">
        <v>331</v>
      </c>
    </row>
    <row r="304" spans="1:12">
      <c r="D304" s="130"/>
      <c r="J304" s="96"/>
    </row>
    <row r="305" spans="1:12">
      <c r="C305" s="272" t="s">
        <v>1166</v>
      </c>
    </row>
    <row r="306" spans="1:12">
      <c r="A306">
        <v>29</v>
      </c>
      <c r="B306" t="s">
        <v>605</v>
      </c>
      <c r="C306" t="s">
        <v>1166</v>
      </c>
      <c r="D306" s="130" t="s">
        <v>606</v>
      </c>
      <c r="E306">
        <v>160</v>
      </c>
      <c r="F306">
        <v>34</v>
      </c>
      <c r="G306">
        <v>325</v>
      </c>
      <c r="H306">
        <v>8</v>
      </c>
      <c r="I306">
        <f t="shared" ref="I306:I314" si="12">H306/2</f>
        <v>4</v>
      </c>
      <c r="J306" s="96">
        <f t="shared" ref="J306:J314" si="13">G306/PI()</f>
        <v>103.45071300973197</v>
      </c>
      <c r="L306" t="s">
        <v>331</v>
      </c>
    </row>
    <row r="307" spans="1:12">
      <c r="A307">
        <v>173</v>
      </c>
      <c r="B307" t="s">
        <v>607</v>
      </c>
      <c r="C307" t="s">
        <v>1166</v>
      </c>
      <c r="D307" s="130">
        <v>160</v>
      </c>
      <c r="E307">
        <v>160</v>
      </c>
      <c r="F307">
        <v>30</v>
      </c>
      <c r="G307">
        <v>250</v>
      </c>
      <c r="H307">
        <v>8</v>
      </c>
      <c r="I307">
        <f t="shared" si="12"/>
        <v>4</v>
      </c>
      <c r="J307" s="96">
        <f t="shared" si="13"/>
        <v>79.577471545947674</v>
      </c>
      <c r="L307" t="s">
        <v>331</v>
      </c>
    </row>
    <row r="308" spans="1:12">
      <c r="A308">
        <v>158</v>
      </c>
      <c r="B308" t="s">
        <v>608</v>
      </c>
      <c r="C308" t="s">
        <v>1166</v>
      </c>
      <c r="D308" s="130" t="s">
        <v>609</v>
      </c>
      <c r="E308">
        <v>165</v>
      </c>
      <c r="F308">
        <v>36</v>
      </c>
      <c r="G308">
        <v>330</v>
      </c>
      <c r="H308">
        <v>13</v>
      </c>
      <c r="I308">
        <f t="shared" si="12"/>
        <v>6.5</v>
      </c>
      <c r="J308" s="96">
        <f t="shared" si="13"/>
        <v>105.04226244065093</v>
      </c>
      <c r="L308" t="s">
        <v>315</v>
      </c>
    </row>
    <row r="309" spans="1:12">
      <c r="A309">
        <v>157</v>
      </c>
      <c r="B309" t="s">
        <v>610</v>
      </c>
      <c r="C309" t="s">
        <v>1166</v>
      </c>
      <c r="D309" s="130">
        <v>200</v>
      </c>
      <c r="E309">
        <v>200</v>
      </c>
      <c r="F309">
        <v>32</v>
      </c>
      <c r="G309">
        <v>355</v>
      </c>
      <c r="H309">
        <v>14</v>
      </c>
      <c r="I309">
        <f t="shared" si="12"/>
        <v>7</v>
      </c>
      <c r="J309" s="96">
        <f t="shared" si="13"/>
        <v>113.00000959524569</v>
      </c>
      <c r="L309" t="s">
        <v>331</v>
      </c>
    </row>
    <row r="310" spans="1:12">
      <c r="A310">
        <v>81</v>
      </c>
      <c r="B310" t="s">
        <v>611</v>
      </c>
      <c r="C310" t="s">
        <v>1166</v>
      </c>
      <c r="D310" s="130" t="s">
        <v>323</v>
      </c>
      <c r="E310">
        <v>225</v>
      </c>
      <c r="F310">
        <v>41</v>
      </c>
      <c r="G310">
        <v>400</v>
      </c>
      <c r="H310">
        <v>8</v>
      </c>
      <c r="I310">
        <f t="shared" si="12"/>
        <v>4</v>
      </c>
      <c r="J310" s="96">
        <f t="shared" si="13"/>
        <v>127.32395447351627</v>
      </c>
      <c r="K310" t="s">
        <v>612</v>
      </c>
      <c r="L310" t="s">
        <v>315</v>
      </c>
    </row>
    <row r="311" spans="1:12">
      <c r="A311">
        <v>184</v>
      </c>
      <c r="B311" t="s">
        <v>613</v>
      </c>
      <c r="C311" t="s">
        <v>1166</v>
      </c>
      <c r="D311" s="130">
        <v>230</v>
      </c>
      <c r="E311">
        <v>230</v>
      </c>
      <c r="F311">
        <v>33</v>
      </c>
      <c r="G311">
        <v>380</v>
      </c>
      <c r="H311">
        <v>12</v>
      </c>
      <c r="I311">
        <f t="shared" si="12"/>
        <v>6</v>
      </c>
      <c r="J311" s="96">
        <f t="shared" si="13"/>
        <v>120.95775674984046</v>
      </c>
      <c r="L311" t="s">
        <v>331</v>
      </c>
    </row>
    <row r="312" spans="1:12">
      <c r="A312">
        <v>78</v>
      </c>
      <c r="B312" t="s">
        <v>614</v>
      </c>
      <c r="C312" t="s">
        <v>1166</v>
      </c>
      <c r="D312" s="130" t="s">
        <v>615</v>
      </c>
      <c r="E312">
        <v>325</v>
      </c>
      <c r="F312">
        <v>27</v>
      </c>
      <c r="G312">
        <v>200</v>
      </c>
      <c r="H312">
        <v>6</v>
      </c>
      <c r="I312">
        <f t="shared" si="12"/>
        <v>3</v>
      </c>
      <c r="J312" s="96">
        <f t="shared" si="13"/>
        <v>63.661977236758133</v>
      </c>
      <c r="K312" t="s">
        <v>616</v>
      </c>
      <c r="L312" t="s">
        <v>315</v>
      </c>
    </row>
    <row r="313" spans="1:12">
      <c r="A313">
        <v>78</v>
      </c>
      <c r="B313" t="s">
        <v>614</v>
      </c>
      <c r="C313" t="s">
        <v>1166</v>
      </c>
      <c r="D313" s="130" t="s">
        <v>615</v>
      </c>
      <c r="E313">
        <v>325</v>
      </c>
      <c r="F313">
        <v>28</v>
      </c>
      <c r="G313">
        <v>200</v>
      </c>
      <c r="H313">
        <v>6</v>
      </c>
      <c r="I313">
        <f t="shared" si="12"/>
        <v>3</v>
      </c>
      <c r="J313" s="96">
        <f t="shared" si="13"/>
        <v>63.661977236758133</v>
      </c>
      <c r="K313" t="s">
        <v>616</v>
      </c>
      <c r="L313" t="s">
        <v>315</v>
      </c>
    </row>
    <row r="314" spans="1:12">
      <c r="A314">
        <v>78</v>
      </c>
      <c r="B314" t="s">
        <v>614</v>
      </c>
      <c r="C314" t="s">
        <v>1166</v>
      </c>
      <c r="D314" s="130" t="s">
        <v>615</v>
      </c>
      <c r="E314">
        <v>325</v>
      </c>
      <c r="F314">
        <v>30</v>
      </c>
      <c r="G314">
        <v>200</v>
      </c>
      <c r="H314">
        <v>6</v>
      </c>
      <c r="I314">
        <f t="shared" si="12"/>
        <v>3</v>
      </c>
      <c r="J314" s="96">
        <f t="shared" si="13"/>
        <v>63.661977236758133</v>
      </c>
      <c r="K314" t="s">
        <v>616</v>
      </c>
      <c r="L314" t="s">
        <v>315</v>
      </c>
    </row>
    <row r="315" spans="1:12">
      <c r="D315" s="130"/>
      <c r="J315" s="96"/>
    </row>
    <row r="316" spans="1:12">
      <c r="C316" s="272" t="s">
        <v>617</v>
      </c>
      <c r="D316" s="130"/>
      <c r="J316" s="96"/>
    </row>
    <row r="317" spans="1:12">
      <c r="A317">
        <v>116</v>
      </c>
      <c r="B317" t="s">
        <v>509</v>
      </c>
      <c r="C317" t="s">
        <v>618</v>
      </c>
      <c r="D317" s="130">
        <v>200</v>
      </c>
      <c r="E317" s="275">
        <v>200</v>
      </c>
      <c r="F317">
        <v>20</v>
      </c>
      <c r="G317">
        <v>320</v>
      </c>
      <c r="H317">
        <v>20</v>
      </c>
      <c r="I317">
        <f t="shared" ref="I317:I348" si="14">H317/2</f>
        <v>10</v>
      </c>
      <c r="J317" s="96">
        <f t="shared" ref="J317:J348" si="15">G317/PI()</f>
        <v>101.85916357881302</v>
      </c>
      <c r="L317" t="s">
        <v>331</v>
      </c>
    </row>
    <row r="318" spans="1:12">
      <c r="A318">
        <v>89</v>
      </c>
      <c r="B318" t="s">
        <v>577</v>
      </c>
      <c r="C318" t="s">
        <v>619</v>
      </c>
      <c r="D318" s="130" t="s">
        <v>620</v>
      </c>
      <c r="E318" s="275">
        <v>110</v>
      </c>
      <c r="F318">
        <v>13</v>
      </c>
      <c r="G318">
        <v>320</v>
      </c>
      <c r="H318">
        <v>12</v>
      </c>
      <c r="I318">
        <f t="shared" si="14"/>
        <v>6</v>
      </c>
      <c r="J318" s="96">
        <f t="shared" si="15"/>
        <v>101.85916357881302</v>
      </c>
      <c r="K318" t="s">
        <v>621</v>
      </c>
      <c r="L318" t="s">
        <v>331</v>
      </c>
    </row>
    <row r="319" spans="1:12">
      <c r="A319">
        <v>111</v>
      </c>
      <c r="B319" t="s">
        <v>535</v>
      </c>
      <c r="C319" t="s">
        <v>619</v>
      </c>
      <c r="D319" s="130">
        <v>150</v>
      </c>
      <c r="E319" s="275">
        <v>150</v>
      </c>
      <c r="F319">
        <v>16</v>
      </c>
      <c r="G319">
        <v>270</v>
      </c>
      <c r="H319">
        <v>13</v>
      </c>
      <c r="I319">
        <f t="shared" si="14"/>
        <v>6.5</v>
      </c>
      <c r="J319" s="96">
        <f t="shared" si="15"/>
        <v>85.943669269623484</v>
      </c>
      <c r="K319" t="s">
        <v>621</v>
      </c>
      <c r="L319" t="s">
        <v>331</v>
      </c>
    </row>
    <row r="320" spans="1:12">
      <c r="A320">
        <v>109</v>
      </c>
      <c r="B320" t="s">
        <v>535</v>
      </c>
      <c r="C320" t="s">
        <v>619</v>
      </c>
      <c r="D320" s="130" t="s">
        <v>313</v>
      </c>
      <c r="E320" s="275">
        <v>175</v>
      </c>
      <c r="F320">
        <v>12</v>
      </c>
      <c r="G320">
        <v>215</v>
      </c>
      <c r="H320">
        <v>12</v>
      </c>
      <c r="I320">
        <f t="shared" si="14"/>
        <v>6</v>
      </c>
      <c r="J320" s="96">
        <f t="shared" si="15"/>
        <v>68.436625529514998</v>
      </c>
      <c r="K320" t="s">
        <v>621</v>
      </c>
      <c r="L320" t="s">
        <v>331</v>
      </c>
    </row>
    <row r="321" spans="1:12">
      <c r="A321">
        <v>109</v>
      </c>
      <c r="B321" t="s">
        <v>535</v>
      </c>
      <c r="C321" t="s">
        <v>619</v>
      </c>
      <c r="D321" s="130" t="s">
        <v>313</v>
      </c>
      <c r="E321" s="275">
        <v>175</v>
      </c>
      <c r="F321">
        <v>16</v>
      </c>
      <c r="G321">
        <v>295</v>
      </c>
      <c r="H321">
        <v>16</v>
      </c>
      <c r="I321">
        <f t="shared" si="14"/>
        <v>8</v>
      </c>
      <c r="J321" s="96">
        <f t="shared" si="15"/>
        <v>93.901416424218255</v>
      </c>
      <c r="K321" t="s">
        <v>621</v>
      </c>
      <c r="L321" t="s">
        <v>331</v>
      </c>
    </row>
    <row r="322" spans="1:12">
      <c r="A322">
        <v>109</v>
      </c>
      <c r="B322" t="s">
        <v>535</v>
      </c>
      <c r="C322" t="s">
        <v>619</v>
      </c>
      <c r="D322" s="130" t="s">
        <v>313</v>
      </c>
      <c r="E322" s="275">
        <v>175</v>
      </c>
      <c r="F322">
        <v>14</v>
      </c>
      <c r="G322">
        <v>250</v>
      </c>
      <c r="H322">
        <v>14</v>
      </c>
      <c r="I322">
        <f t="shared" si="14"/>
        <v>7</v>
      </c>
      <c r="J322" s="96">
        <f t="shared" si="15"/>
        <v>79.577471545947674</v>
      </c>
      <c r="K322" t="s">
        <v>621</v>
      </c>
      <c r="L322" t="s">
        <v>331</v>
      </c>
    </row>
    <row r="323" spans="1:12">
      <c r="A323">
        <v>211</v>
      </c>
      <c r="B323" t="s">
        <v>622</v>
      </c>
      <c r="C323" t="s">
        <v>623</v>
      </c>
      <c r="D323" s="130">
        <v>230</v>
      </c>
      <c r="E323" s="275">
        <v>230</v>
      </c>
      <c r="F323">
        <v>19</v>
      </c>
      <c r="G323">
        <v>220</v>
      </c>
      <c r="H323">
        <v>11</v>
      </c>
      <c r="I323">
        <f t="shared" si="14"/>
        <v>5.5</v>
      </c>
      <c r="J323" s="96">
        <f t="shared" si="15"/>
        <v>70.028174960433944</v>
      </c>
      <c r="L323" t="s">
        <v>315</v>
      </c>
    </row>
    <row r="324" spans="1:12">
      <c r="A324">
        <v>35</v>
      </c>
      <c r="B324" t="s">
        <v>624</v>
      </c>
      <c r="C324" t="s">
        <v>623</v>
      </c>
      <c r="D324" s="130">
        <v>800</v>
      </c>
      <c r="E324" s="275">
        <v>800</v>
      </c>
      <c r="F324">
        <v>9</v>
      </c>
      <c r="G324">
        <v>270</v>
      </c>
      <c r="H324">
        <v>11</v>
      </c>
      <c r="I324">
        <f t="shared" si="14"/>
        <v>5.5</v>
      </c>
      <c r="J324" s="96">
        <f t="shared" si="15"/>
        <v>85.943669269623484</v>
      </c>
      <c r="K324" t="s">
        <v>625</v>
      </c>
      <c r="L324" t="s">
        <v>322</v>
      </c>
    </row>
    <row r="325" spans="1:12">
      <c r="A325">
        <v>28</v>
      </c>
      <c r="B325" t="s">
        <v>626</v>
      </c>
      <c r="C325" t="s">
        <v>623</v>
      </c>
      <c r="D325" s="130" t="s">
        <v>627</v>
      </c>
      <c r="E325" s="275">
        <v>900</v>
      </c>
      <c r="F325">
        <v>10</v>
      </c>
      <c r="G325">
        <v>500</v>
      </c>
      <c r="H325">
        <v>9</v>
      </c>
      <c r="I325">
        <f t="shared" si="14"/>
        <v>4.5</v>
      </c>
      <c r="J325" s="96">
        <f t="shared" si="15"/>
        <v>159.15494309189535</v>
      </c>
      <c r="K325" t="s">
        <v>628</v>
      </c>
      <c r="L325" t="s">
        <v>322</v>
      </c>
    </row>
    <row r="326" spans="1:12">
      <c r="A326">
        <v>110</v>
      </c>
      <c r="B326" t="s">
        <v>535</v>
      </c>
      <c r="C326" t="s">
        <v>629</v>
      </c>
      <c r="D326" s="130" t="s">
        <v>374</v>
      </c>
      <c r="E326" s="275">
        <v>125</v>
      </c>
      <c r="F326">
        <v>22</v>
      </c>
      <c r="G326">
        <v>330</v>
      </c>
      <c r="H326">
        <v>13</v>
      </c>
      <c r="I326">
        <f t="shared" si="14"/>
        <v>6.5</v>
      </c>
      <c r="J326" s="96">
        <f t="shared" si="15"/>
        <v>105.04226244065093</v>
      </c>
      <c r="L326" t="s">
        <v>331</v>
      </c>
    </row>
    <row r="327" spans="1:12">
      <c r="A327">
        <v>92</v>
      </c>
      <c r="B327" t="s">
        <v>630</v>
      </c>
      <c r="C327" t="s">
        <v>1171</v>
      </c>
      <c r="D327" s="130" t="s">
        <v>323</v>
      </c>
      <c r="E327" s="275">
        <v>225</v>
      </c>
      <c r="F327">
        <v>25</v>
      </c>
      <c r="G327">
        <v>380</v>
      </c>
      <c r="H327">
        <v>28</v>
      </c>
      <c r="I327">
        <f t="shared" si="14"/>
        <v>14</v>
      </c>
      <c r="J327" s="96">
        <f t="shared" si="15"/>
        <v>120.95775674984046</v>
      </c>
      <c r="K327" t="s">
        <v>333</v>
      </c>
      <c r="L327" t="s">
        <v>315</v>
      </c>
    </row>
    <row r="328" spans="1:12">
      <c r="A328">
        <v>1</v>
      </c>
      <c r="B328" t="s">
        <v>631</v>
      </c>
      <c r="C328" t="s">
        <v>1171</v>
      </c>
      <c r="D328" s="130" t="s">
        <v>330</v>
      </c>
      <c r="E328" s="275">
        <v>250</v>
      </c>
      <c r="F328">
        <v>24</v>
      </c>
      <c r="G328">
        <v>690</v>
      </c>
      <c r="H328">
        <v>33</v>
      </c>
      <c r="I328">
        <f t="shared" si="14"/>
        <v>16.5</v>
      </c>
      <c r="J328" s="96">
        <f t="shared" si="15"/>
        <v>219.63382146681556</v>
      </c>
      <c r="K328" t="s">
        <v>333</v>
      </c>
      <c r="L328" t="s">
        <v>322</v>
      </c>
    </row>
    <row r="329" spans="1:12">
      <c r="A329">
        <v>157</v>
      </c>
      <c r="B329" t="s">
        <v>632</v>
      </c>
      <c r="C329" t="s">
        <v>1171</v>
      </c>
      <c r="D329" s="130" t="s">
        <v>341</v>
      </c>
      <c r="E329" s="275">
        <v>275</v>
      </c>
      <c r="F329">
        <v>20</v>
      </c>
      <c r="G329">
        <v>360</v>
      </c>
      <c r="H329">
        <v>21</v>
      </c>
      <c r="I329">
        <f t="shared" si="14"/>
        <v>10.5</v>
      </c>
      <c r="J329" s="96">
        <f t="shared" si="15"/>
        <v>114.59155902616465</v>
      </c>
      <c r="K329" t="s">
        <v>333</v>
      </c>
      <c r="L329" t="s">
        <v>315</v>
      </c>
    </row>
    <row r="330" spans="1:12">
      <c r="A330">
        <v>128</v>
      </c>
      <c r="B330" t="s">
        <v>633</v>
      </c>
      <c r="C330" t="s">
        <v>634</v>
      </c>
      <c r="D330" s="130" t="s">
        <v>559</v>
      </c>
      <c r="E330" s="275">
        <v>550</v>
      </c>
      <c r="F330">
        <v>17</v>
      </c>
      <c r="G330">
        <v>850</v>
      </c>
      <c r="H330">
        <v>18</v>
      </c>
      <c r="I330">
        <f t="shared" si="14"/>
        <v>9</v>
      </c>
      <c r="J330" s="96">
        <f t="shared" si="15"/>
        <v>270.5634032562221</v>
      </c>
      <c r="L330" t="s">
        <v>331</v>
      </c>
    </row>
    <row r="331" spans="1:12">
      <c r="A331">
        <v>154</v>
      </c>
      <c r="B331" t="s">
        <v>635</v>
      </c>
      <c r="C331" t="s">
        <v>636</v>
      </c>
      <c r="D331" s="130" t="s">
        <v>323</v>
      </c>
      <c r="E331" s="275">
        <v>225</v>
      </c>
      <c r="F331">
        <v>25</v>
      </c>
      <c r="G331">
        <v>440</v>
      </c>
      <c r="H331">
        <v>20</v>
      </c>
      <c r="I331">
        <f t="shared" si="14"/>
        <v>10</v>
      </c>
      <c r="J331" s="96">
        <f t="shared" si="15"/>
        <v>140.05634992086789</v>
      </c>
      <c r="L331" t="s">
        <v>331</v>
      </c>
    </row>
    <row r="332" spans="1:12">
      <c r="A332">
        <v>160</v>
      </c>
      <c r="B332" t="s">
        <v>564</v>
      </c>
      <c r="C332" t="s">
        <v>636</v>
      </c>
      <c r="D332" s="130" t="s">
        <v>330</v>
      </c>
      <c r="E332" s="275">
        <v>250</v>
      </c>
      <c r="F332">
        <v>17</v>
      </c>
      <c r="G332">
        <v>550</v>
      </c>
      <c r="H332">
        <v>20</v>
      </c>
      <c r="I332">
        <f t="shared" si="14"/>
        <v>10</v>
      </c>
      <c r="J332" s="96">
        <f t="shared" si="15"/>
        <v>175.07043740108489</v>
      </c>
      <c r="L332" t="s">
        <v>331</v>
      </c>
    </row>
    <row r="333" spans="1:12">
      <c r="A333">
        <v>260</v>
      </c>
      <c r="B333" t="s">
        <v>637</v>
      </c>
      <c r="C333" t="s">
        <v>636</v>
      </c>
      <c r="D333" s="130" t="s">
        <v>341</v>
      </c>
      <c r="E333" s="275">
        <v>275</v>
      </c>
      <c r="F333">
        <v>22</v>
      </c>
      <c r="G333">
        <v>450</v>
      </c>
      <c r="H333">
        <v>15</v>
      </c>
      <c r="I333">
        <f t="shared" si="14"/>
        <v>7.5</v>
      </c>
      <c r="J333" s="96">
        <f t="shared" si="15"/>
        <v>143.23944878270581</v>
      </c>
      <c r="L333" t="s">
        <v>331</v>
      </c>
    </row>
    <row r="334" spans="1:12">
      <c r="A334">
        <v>252</v>
      </c>
      <c r="B334" t="s">
        <v>638</v>
      </c>
      <c r="C334" t="s">
        <v>636</v>
      </c>
      <c r="D334" s="130" t="s">
        <v>382</v>
      </c>
      <c r="E334" s="275">
        <v>350</v>
      </c>
      <c r="F334">
        <v>28</v>
      </c>
      <c r="G334">
        <v>530</v>
      </c>
      <c r="H334">
        <v>17</v>
      </c>
      <c r="I334">
        <f t="shared" si="14"/>
        <v>8.5</v>
      </c>
      <c r="J334" s="96">
        <f t="shared" si="15"/>
        <v>168.70423967740905</v>
      </c>
      <c r="L334" t="s">
        <v>331</v>
      </c>
    </row>
    <row r="335" spans="1:12">
      <c r="A335">
        <v>281</v>
      </c>
      <c r="B335" t="s">
        <v>639</v>
      </c>
      <c r="C335" t="s">
        <v>636</v>
      </c>
      <c r="D335" s="130" t="s">
        <v>382</v>
      </c>
      <c r="E335" s="275">
        <v>350</v>
      </c>
      <c r="F335">
        <v>20</v>
      </c>
      <c r="G335">
        <v>495</v>
      </c>
      <c r="H335">
        <v>20</v>
      </c>
      <c r="I335">
        <f t="shared" si="14"/>
        <v>10</v>
      </c>
      <c r="J335" s="96">
        <f t="shared" si="15"/>
        <v>157.5633936609764</v>
      </c>
      <c r="L335" t="s">
        <v>331</v>
      </c>
    </row>
    <row r="336" spans="1:12">
      <c r="A336">
        <v>311</v>
      </c>
      <c r="B336" t="s">
        <v>640</v>
      </c>
      <c r="C336" t="s">
        <v>636</v>
      </c>
      <c r="D336" s="130" t="s">
        <v>382</v>
      </c>
      <c r="E336" s="275">
        <v>350</v>
      </c>
      <c r="F336">
        <v>28</v>
      </c>
      <c r="G336">
        <v>630</v>
      </c>
      <c r="H336">
        <v>20</v>
      </c>
      <c r="I336">
        <f t="shared" si="14"/>
        <v>10</v>
      </c>
      <c r="J336" s="96">
        <f t="shared" si="15"/>
        <v>200.53522829578813</v>
      </c>
      <c r="K336" t="s">
        <v>641</v>
      </c>
      <c r="L336" t="s">
        <v>331</v>
      </c>
    </row>
    <row r="337" spans="1:12">
      <c r="A337">
        <v>65</v>
      </c>
      <c r="B337" t="s">
        <v>642</v>
      </c>
      <c r="C337" t="s">
        <v>643</v>
      </c>
      <c r="D337" s="130" t="s">
        <v>341</v>
      </c>
      <c r="E337" s="275">
        <v>275</v>
      </c>
      <c r="F337">
        <v>12</v>
      </c>
      <c r="G337">
        <v>395</v>
      </c>
      <c r="H337">
        <v>15</v>
      </c>
      <c r="I337">
        <f t="shared" si="14"/>
        <v>7.5</v>
      </c>
      <c r="J337" s="96">
        <f t="shared" si="15"/>
        <v>125.73240504259732</v>
      </c>
      <c r="K337" t="s">
        <v>333</v>
      </c>
      <c r="L337" t="s">
        <v>322</v>
      </c>
    </row>
    <row r="338" spans="1:12">
      <c r="A338">
        <v>30</v>
      </c>
      <c r="B338" t="s">
        <v>644</v>
      </c>
      <c r="C338" t="s">
        <v>1182</v>
      </c>
      <c r="D338" s="130">
        <v>250</v>
      </c>
      <c r="E338" s="275">
        <v>250</v>
      </c>
      <c r="F338">
        <v>24</v>
      </c>
      <c r="G338">
        <v>400</v>
      </c>
      <c r="H338">
        <v>18</v>
      </c>
      <c r="I338">
        <f t="shared" si="14"/>
        <v>9</v>
      </c>
      <c r="J338" s="96">
        <f t="shared" si="15"/>
        <v>127.32395447351627</v>
      </c>
      <c r="K338" t="s">
        <v>645</v>
      </c>
      <c r="L338" t="s">
        <v>331</v>
      </c>
    </row>
    <row r="339" spans="1:12">
      <c r="A339">
        <v>116</v>
      </c>
      <c r="B339" t="s">
        <v>509</v>
      </c>
      <c r="C339" t="s">
        <v>1182</v>
      </c>
      <c r="D339" s="130">
        <v>300</v>
      </c>
      <c r="E339" s="275">
        <v>300</v>
      </c>
      <c r="F339">
        <v>28</v>
      </c>
      <c r="G339">
        <v>450</v>
      </c>
      <c r="H339">
        <v>19</v>
      </c>
      <c r="I339">
        <f t="shared" si="14"/>
        <v>9.5</v>
      </c>
      <c r="J339" s="96">
        <f t="shared" si="15"/>
        <v>143.23944878270581</v>
      </c>
      <c r="L339" t="s">
        <v>331</v>
      </c>
    </row>
    <row r="340" spans="1:12">
      <c r="A340">
        <v>296</v>
      </c>
      <c r="B340" t="s">
        <v>646</v>
      </c>
      <c r="C340" t="s">
        <v>1182</v>
      </c>
      <c r="D340" s="130" t="s">
        <v>347</v>
      </c>
      <c r="E340" s="275">
        <v>300</v>
      </c>
      <c r="F340">
        <v>18</v>
      </c>
      <c r="G340">
        <v>445</v>
      </c>
      <c r="H340">
        <v>9</v>
      </c>
      <c r="I340">
        <f t="shared" si="14"/>
        <v>4.5</v>
      </c>
      <c r="J340" s="96">
        <f t="shared" si="15"/>
        <v>141.64789935178686</v>
      </c>
      <c r="K340" t="s">
        <v>647</v>
      </c>
      <c r="L340" t="s">
        <v>331</v>
      </c>
    </row>
    <row r="341" spans="1:12">
      <c r="A341">
        <v>218</v>
      </c>
      <c r="B341" t="s">
        <v>480</v>
      </c>
      <c r="C341" t="s">
        <v>1182</v>
      </c>
      <c r="D341" s="130" t="s">
        <v>350</v>
      </c>
      <c r="E341" s="275">
        <v>325</v>
      </c>
      <c r="F341">
        <v>21</v>
      </c>
      <c r="G341">
        <v>580</v>
      </c>
      <c r="H341">
        <v>18</v>
      </c>
      <c r="I341">
        <f t="shared" si="14"/>
        <v>9</v>
      </c>
      <c r="J341" s="96">
        <f t="shared" si="15"/>
        <v>184.61973398659859</v>
      </c>
      <c r="L341" t="s">
        <v>331</v>
      </c>
    </row>
    <row r="342" spans="1:12">
      <c r="A342">
        <v>24</v>
      </c>
      <c r="B342" t="s">
        <v>499</v>
      </c>
      <c r="C342" t="s">
        <v>1182</v>
      </c>
      <c r="D342" s="130" t="s">
        <v>382</v>
      </c>
      <c r="E342" s="275">
        <v>350</v>
      </c>
      <c r="F342">
        <v>20</v>
      </c>
      <c r="G342">
        <v>620</v>
      </c>
      <c r="H342">
        <v>10</v>
      </c>
      <c r="I342">
        <f t="shared" si="14"/>
        <v>5</v>
      </c>
      <c r="J342" s="96">
        <f t="shared" si="15"/>
        <v>197.35212943395021</v>
      </c>
      <c r="K342" t="s">
        <v>358</v>
      </c>
      <c r="L342" t="s">
        <v>331</v>
      </c>
    </row>
    <row r="343" spans="1:12">
      <c r="A343">
        <v>121</v>
      </c>
      <c r="B343" t="s">
        <v>648</v>
      </c>
      <c r="C343" t="s">
        <v>1182</v>
      </c>
      <c r="D343" s="130" t="s">
        <v>382</v>
      </c>
      <c r="E343" s="275">
        <v>350</v>
      </c>
      <c r="F343">
        <v>29</v>
      </c>
      <c r="G343">
        <v>670</v>
      </c>
      <c r="H343">
        <v>17</v>
      </c>
      <c r="I343">
        <f t="shared" si="14"/>
        <v>8.5</v>
      </c>
      <c r="J343" s="96">
        <f t="shared" si="15"/>
        <v>213.26762374313975</v>
      </c>
      <c r="L343" t="s">
        <v>331</v>
      </c>
    </row>
    <row r="344" spans="1:12">
      <c r="A344">
        <v>121</v>
      </c>
      <c r="B344" t="s">
        <v>648</v>
      </c>
      <c r="C344" t="s">
        <v>1182</v>
      </c>
      <c r="D344" s="130" t="s">
        <v>382</v>
      </c>
      <c r="E344" s="275">
        <v>350</v>
      </c>
      <c r="F344">
        <v>25</v>
      </c>
      <c r="G344">
        <v>400</v>
      </c>
      <c r="H344">
        <v>14</v>
      </c>
      <c r="I344">
        <f t="shared" si="14"/>
        <v>7</v>
      </c>
      <c r="J344" s="96">
        <f t="shared" si="15"/>
        <v>127.32395447351627</v>
      </c>
      <c r="L344" t="s">
        <v>331</v>
      </c>
    </row>
    <row r="345" spans="1:12">
      <c r="A345">
        <v>272</v>
      </c>
      <c r="B345" t="s">
        <v>649</v>
      </c>
      <c r="C345" t="s">
        <v>1182</v>
      </c>
      <c r="D345" s="130" t="s">
        <v>382</v>
      </c>
      <c r="E345" s="275">
        <v>350</v>
      </c>
      <c r="F345">
        <v>27</v>
      </c>
      <c r="G345">
        <v>480</v>
      </c>
      <c r="H345">
        <v>24</v>
      </c>
      <c r="I345">
        <f t="shared" si="14"/>
        <v>12</v>
      </c>
      <c r="J345" s="96">
        <f t="shared" si="15"/>
        <v>152.78874536821954</v>
      </c>
      <c r="L345" t="s">
        <v>331</v>
      </c>
    </row>
    <row r="346" spans="1:12">
      <c r="A346">
        <v>272</v>
      </c>
      <c r="B346" t="s">
        <v>649</v>
      </c>
      <c r="C346" t="s">
        <v>1182</v>
      </c>
      <c r="D346" s="130" t="s">
        <v>382</v>
      </c>
      <c r="E346" s="275">
        <v>350</v>
      </c>
      <c r="F346">
        <v>26</v>
      </c>
      <c r="G346">
        <v>620</v>
      </c>
      <c r="H346">
        <v>26</v>
      </c>
      <c r="I346">
        <f t="shared" si="14"/>
        <v>13</v>
      </c>
      <c r="J346" s="96">
        <f t="shared" si="15"/>
        <v>197.35212943395021</v>
      </c>
      <c r="L346" t="s">
        <v>331</v>
      </c>
    </row>
    <row r="347" spans="1:12">
      <c r="A347">
        <v>272</v>
      </c>
      <c r="B347" t="s">
        <v>649</v>
      </c>
      <c r="C347" t="s">
        <v>1182</v>
      </c>
      <c r="D347" s="130" t="s">
        <v>382</v>
      </c>
      <c r="E347" s="275">
        <v>350</v>
      </c>
      <c r="F347">
        <v>26</v>
      </c>
      <c r="G347">
        <v>305</v>
      </c>
      <c r="H347">
        <v>18</v>
      </c>
      <c r="I347">
        <f t="shared" si="14"/>
        <v>9</v>
      </c>
      <c r="J347" s="96">
        <f t="shared" si="15"/>
        <v>97.08451528605616</v>
      </c>
      <c r="L347" t="s">
        <v>331</v>
      </c>
    </row>
    <row r="348" spans="1:12">
      <c r="A348">
        <v>295</v>
      </c>
      <c r="B348" t="s">
        <v>489</v>
      </c>
      <c r="C348" t="s">
        <v>1182</v>
      </c>
      <c r="D348" s="130" t="s">
        <v>382</v>
      </c>
      <c r="E348" s="275">
        <v>350</v>
      </c>
      <c r="F348">
        <v>29</v>
      </c>
      <c r="G348">
        <v>500</v>
      </c>
      <c r="H348">
        <v>20</v>
      </c>
      <c r="I348">
        <f t="shared" si="14"/>
        <v>10</v>
      </c>
      <c r="J348" s="96">
        <f t="shared" si="15"/>
        <v>159.15494309189535</v>
      </c>
      <c r="L348" t="s">
        <v>331</v>
      </c>
    </row>
    <row r="349" spans="1:12">
      <c r="A349">
        <v>30</v>
      </c>
      <c r="B349" t="s">
        <v>650</v>
      </c>
      <c r="C349" t="s">
        <v>1182</v>
      </c>
      <c r="D349" s="130" t="s">
        <v>390</v>
      </c>
      <c r="E349" s="275">
        <v>375</v>
      </c>
      <c r="F349">
        <v>20</v>
      </c>
      <c r="G349">
        <v>450</v>
      </c>
      <c r="H349">
        <v>14</v>
      </c>
      <c r="I349">
        <f t="shared" ref="I349:I380" si="16">H349/2</f>
        <v>7</v>
      </c>
      <c r="J349" s="96">
        <f t="shared" ref="J349:J380" si="17">G349/PI()</f>
        <v>143.23944878270581</v>
      </c>
      <c r="K349" t="s">
        <v>651</v>
      </c>
      <c r="L349" t="s">
        <v>322</v>
      </c>
    </row>
    <row r="350" spans="1:12">
      <c r="A350">
        <v>13</v>
      </c>
      <c r="B350" t="s">
        <v>652</v>
      </c>
      <c r="C350" t="s">
        <v>1182</v>
      </c>
      <c r="D350" s="130" t="s">
        <v>390</v>
      </c>
      <c r="E350" s="275">
        <v>375</v>
      </c>
      <c r="F350">
        <v>23</v>
      </c>
      <c r="G350">
        <v>635</v>
      </c>
      <c r="H350">
        <v>18</v>
      </c>
      <c r="I350">
        <f t="shared" si="16"/>
        <v>9</v>
      </c>
      <c r="J350" s="96">
        <f t="shared" si="17"/>
        <v>202.12677772670708</v>
      </c>
      <c r="L350" t="s">
        <v>331</v>
      </c>
    </row>
    <row r="351" spans="1:12">
      <c r="A351">
        <v>151</v>
      </c>
      <c r="B351" t="s">
        <v>653</v>
      </c>
      <c r="C351" t="s">
        <v>1182</v>
      </c>
      <c r="D351" s="130" t="s">
        <v>401</v>
      </c>
      <c r="E351" s="275">
        <v>450</v>
      </c>
      <c r="F351">
        <v>4</v>
      </c>
      <c r="G351">
        <v>550</v>
      </c>
      <c r="H351">
        <v>5</v>
      </c>
      <c r="I351">
        <f t="shared" si="16"/>
        <v>2.5</v>
      </c>
      <c r="J351" s="96">
        <f t="shared" si="17"/>
        <v>175.07043740108489</v>
      </c>
      <c r="K351" t="s">
        <v>654</v>
      </c>
      <c r="L351" t="s">
        <v>331</v>
      </c>
    </row>
    <row r="352" spans="1:12">
      <c r="A352">
        <v>18</v>
      </c>
      <c r="B352" t="s">
        <v>655</v>
      </c>
      <c r="C352" t="s">
        <v>1182</v>
      </c>
      <c r="D352" s="130" t="s">
        <v>410</v>
      </c>
      <c r="E352" s="275">
        <v>500</v>
      </c>
      <c r="F352">
        <v>19</v>
      </c>
      <c r="G352">
        <v>650</v>
      </c>
      <c r="H352">
        <v>13</v>
      </c>
      <c r="I352">
        <f t="shared" si="16"/>
        <v>6.5</v>
      </c>
      <c r="J352" s="96">
        <f t="shared" si="17"/>
        <v>206.90142601946394</v>
      </c>
      <c r="L352" t="s">
        <v>331</v>
      </c>
    </row>
    <row r="353" spans="1:12">
      <c r="A353">
        <v>24</v>
      </c>
      <c r="B353" t="s">
        <v>656</v>
      </c>
      <c r="C353" t="s">
        <v>1182</v>
      </c>
      <c r="D353" s="130" t="s">
        <v>413</v>
      </c>
      <c r="E353" s="275">
        <v>550</v>
      </c>
      <c r="F353">
        <v>15</v>
      </c>
      <c r="G353">
        <v>560</v>
      </c>
      <c r="H353">
        <v>13</v>
      </c>
      <c r="I353">
        <f t="shared" si="16"/>
        <v>6.5</v>
      </c>
      <c r="J353" s="96">
        <f t="shared" si="17"/>
        <v>178.25353626292278</v>
      </c>
      <c r="K353" t="s">
        <v>657</v>
      </c>
      <c r="L353" t="s">
        <v>322</v>
      </c>
    </row>
    <row r="354" spans="1:12">
      <c r="A354">
        <v>297</v>
      </c>
      <c r="B354" t="s">
        <v>658</v>
      </c>
      <c r="C354" t="s">
        <v>1182</v>
      </c>
      <c r="D354" s="130" t="s">
        <v>413</v>
      </c>
      <c r="E354" s="275">
        <v>550</v>
      </c>
      <c r="F354">
        <v>12</v>
      </c>
      <c r="G354">
        <v>500</v>
      </c>
      <c r="H354">
        <v>10</v>
      </c>
      <c r="I354">
        <f t="shared" si="16"/>
        <v>5</v>
      </c>
      <c r="J354" s="96">
        <f t="shared" si="17"/>
        <v>159.15494309189535</v>
      </c>
      <c r="K354" t="s">
        <v>659</v>
      </c>
      <c r="L354" t="s">
        <v>331</v>
      </c>
    </row>
    <row r="355" spans="1:12">
      <c r="A355">
        <v>195</v>
      </c>
      <c r="B355" t="s">
        <v>660</v>
      </c>
      <c r="C355" t="s">
        <v>1182</v>
      </c>
      <c r="D355" s="130" t="s">
        <v>575</v>
      </c>
      <c r="E355" s="275">
        <v>700</v>
      </c>
      <c r="F355">
        <v>26</v>
      </c>
      <c r="G355">
        <v>1225</v>
      </c>
      <c r="H355">
        <v>27</v>
      </c>
      <c r="I355">
        <f t="shared" si="16"/>
        <v>13.5</v>
      </c>
      <c r="J355" s="96">
        <f t="shared" si="17"/>
        <v>389.92961057514361</v>
      </c>
      <c r="L355" t="s">
        <v>331</v>
      </c>
    </row>
    <row r="356" spans="1:12">
      <c r="A356">
        <v>146</v>
      </c>
      <c r="B356" t="s">
        <v>386</v>
      </c>
      <c r="C356" t="s">
        <v>661</v>
      </c>
      <c r="D356" s="130">
        <v>200</v>
      </c>
      <c r="E356" s="275">
        <v>200</v>
      </c>
      <c r="F356">
        <v>13</v>
      </c>
      <c r="G356">
        <v>255</v>
      </c>
      <c r="H356">
        <v>5</v>
      </c>
      <c r="I356">
        <f t="shared" si="16"/>
        <v>2.5</v>
      </c>
      <c r="J356" s="96">
        <f t="shared" si="17"/>
        <v>81.169020976866619</v>
      </c>
      <c r="L356" t="s">
        <v>331</v>
      </c>
    </row>
    <row r="357" spans="1:12">
      <c r="A357">
        <v>146</v>
      </c>
      <c r="B357" t="s">
        <v>386</v>
      </c>
      <c r="C357" t="s">
        <v>661</v>
      </c>
      <c r="D357" s="130">
        <v>200</v>
      </c>
      <c r="E357" s="275">
        <v>200</v>
      </c>
      <c r="F357">
        <v>10</v>
      </c>
      <c r="G357">
        <v>230</v>
      </c>
      <c r="H357">
        <v>13</v>
      </c>
      <c r="I357">
        <f t="shared" si="16"/>
        <v>6.5</v>
      </c>
      <c r="J357" s="96">
        <f t="shared" si="17"/>
        <v>73.211273822271863</v>
      </c>
      <c r="L357" t="s">
        <v>331</v>
      </c>
    </row>
    <row r="358" spans="1:12">
      <c r="A358">
        <v>268</v>
      </c>
      <c r="B358" t="s">
        <v>662</v>
      </c>
      <c r="C358" t="s">
        <v>661</v>
      </c>
      <c r="D358" s="130">
        <v>205</v>
      </c>
      <c r="E358" s="275">
        <v>205</v>
      </c>
      <c r="F358">
        <v>14</v>
      </c>
      <c r="G358">
        <v>575</v>
      </c>
      <c r="H358">
        <v>12</v>
      </c>
      <c r="I358">
        <f t="shared" si="16"/>
        <v>6</v>
      </c>
      <c r="J358" s="96">
        <f t="shared" si="17"/>
        <v>183.02818455567964</v>
      </c>
      <c r="L358" t="s">
        <v>331</v>
      </c>
    </row>
    <row r="359" spans="1:12">
      <c r="A359">
        <v>279</v>
      </c>
      <c r="B359" t="s">
        <v>663</v>
      </c>
      <c r="C359" t="s">
        <v>661</v>
      </c>
      <c r="D359" s="130" t="s">
        <v>323</v>
      </c>
      <c r="E359" s="275">
        <v>225</v>
      </c>
      <c r="F359">
        <v>14</v>
      </c>
      <c r="G359">
        <v>310</v>
      </c>
      <c r="H359">
        <v>10</v>
      </c>
      <c r="I359">
        <f t="shared" si="16"/>
        <v>5</v>
      </c>
      <c r="J359" s="96">
        <f t="shared" si="17"/>
        <v>98.676064716975105</v>
      </c>
      <c r="L359" t="s">
        <v>331</v>
      </c>
    </row>
    <row r="360" spans="1:12">
      <c r="A360">
        <v>16</v>
      </c>
      <c r="B360" t="s">
        <v>424</v>
      </c>
      <c r="C360" t="s">
        <v>664</v>
      </c>
      <c r="D360" s="130">
        <v>100</v>
      </c>
      <c r="E360" s="275">
        <v>100</v>
      </c>
      <c r="F360">
        <v>14</v>
      </c>
      <c r="G360">
        <v>265</v>
      </c>
      <c r="H360">
        <v>19</v>
      </c>
      <c r="I360">
        <f t="shared" si="16"/>
        <v>9.5</v>
      </c>
      <c r="J360" s="96">
        <f t="shared" si="17"/>
        <v>84.352119838704525</v>
      </c>
      <c r="L360" t="s">
        <v>331</v>
      </c>
    </row>
    <row r="361" spans="1:12">
      <c r="A361">
        <v>27</v>
      </c>
      <c r="B361" t="s">
        <v>383</v>
      </c>
      <c r="C361" t="s">
        <v>665</v>
      </c>
      <c r="D361" s="130">
        <v>90</v>
      </c>
      <c r="E361" s="275">
        <v>90</v>
      </c>
      <c r="F361">
        <v>26</v>
      </c>
      <c r="G361">
        <v>465</v>
      </c>
      <c r="H361">
        <v>25</v>
      </c>
      <c r="I361">
        <f t="shared" si="16"/>
        <v>12.5</v>
      </c>
      <c r="J361" s="96">
        <f t="shared" si="17"/>
        <v>148.01409707546267</v>
      </c>
      <c r="L361" t="s">
        <v>331</v>
      </c>
    </row>
    <row r="362" spans="1:12">
      <c r="A362">
        <v>19</v>
      </c>
      <c r="B362" t="s">
        <v>666</v>
      </c>
      <c r="C362" t="s">
        <v>665</v>
      </c>
      <c r="D362" s="130" t="s">
        <v>620</v>
      </c>
      <c r="E362" s="275">
        <v>110</v>
      </c>
      <c r="F362">
        <v>30</v>
      </c>
      <c r="G362">
        <v>650</v>
      </c>
      <c r="H362">
        <v>8</v>
      </c>
      <c r="I362">
        <f t="shared" si="16"/>
        <v>4</v>
      </c>
      <c r="J362" s="96">
        <f t="shared" si="17"/>
        <v>206.90142601946394</v>
      </c>
      <c r="L362" t="s">
        <v>331</v>
      </c>
    </row>
    <row r="363" spans="1:12">
      <c r="A363">
        <v>316</v>
      </c>
      <c r="B363" t="s">
        <v>667</v>
      </c>
      <c r="C363" t="s">
        <v>668</v>
      </c>
      <c r="D363" s="130">
        <v>160</v>
      </c>
      <c r="E363" s="275">
        <v>160</v>
      </c>
      <c r="F363">
        <v>34</v>
      </c>
      <c r="G363">
        <v>810</v>
      </c>
      <c r="H363">
        <v>23</v>
      </c>
      <c r="I363">
        <f t="shared" si="16"/>
        <v>11.5</v>
      </c>
      <c r="J363" s="96">
        <f t="shared" si="17"/>
        <v>257.83100780887048</v>
      </c>
      <c r="K363" t="s">
        <v>333</v>
      </c>
      <c r="L363" t="s">
        <v>331</v>
      </c>
    </row>
    <row r="364" spans="1:12">
      <c r="A364">
        <v>73</v>
      </c>
      <c r="B364" t="s">
        <v>669</v>
      </c>
      <c r="C364" t="s">
        <v>668</v>
      </c>
      <c r="D364" s="130">
        <v>200</v>
      </c>
      <c r="E364" s="275">
        <v>200</v>
      </c>
      <c r="F364">
        <v>45</v>
      </c>
      <c r="G364">
        <v>570</v>
      </c>
      <c r="H364">
        <v>23</v>
      </c>
      <c r="I364">
        <f t="shared" si="16"/>
        <v>11.5</v>
      </c>
      <c r="J364" s="96">
        <f t="shared" si="17"/>
        <v>181.4366351247607</v>
      </c>
      <c r="L364" t="s">
        <v>331</v>
      </c>
    </row>
    <row r="365" spans="1:12">
      <c r="A365">
        <v>171</v>
      </c>
      <c r="B365" t="s">
        <v>470</v>
      </c>
      <c r="C365" t="s">
        <v>668</v>
      </c>
      <c r="D365" s="130" t="s">
        <v>598</v>
      </c>
      <c r="E365" s="275">
        <v>200</v>
      </c>
      <c r="F365">
        <v>24</v>
      </c>
      <c r="G365">
        <v>670</v>
      </c>
      <c r="H365">
        <v>19</v>
      </c>
      <c r="I365">
        <f t="shared" si="16"/>
        <v>9.5</v>
      </c>
      <c r="J365" s="96">
        <f t="shared" si="17"/>
        <v>213.26762374313975</v>
      </c>
      <c r="L365" t="s">
        <v>331</v>
      </c>
    </row>
    <row r="366" spans="1:12">
      <c r="A366">
        <v>92</v>
      </c>
      <c r="B366" t="s">
        <v>670</v>
      </c>
      <c r="C366" t="s">
        <v>668</v>
      </c>
      <c r="D366" s="130" t="s">
        <v>323</v>
      </c>
      <c r="E366" s="275">
        <v>225</v>
      </c>
      <c r="F366">
        <v>34</v>
      </c>
      <c r="G366">
        <v>475</v>
      </c>
      <c r="H366">
        <v>26</v>
      </c>
      <c r="I366">
        <f t="shared" si="16"/>
        <v>13</v>
      </c>
      <c r="J366" s="96">
        <f t="shared" si="17"/>
        <v>151.19719593730056</v>
      </c>
      <c r="L366" t="s">
        <v>331</v>
      </c>
    </row>
    <row r="367" spans="1:12">
      <c r="A367">
        <v>165</v>
      </c>
      <c r="B367" t="s">
        <v>671</v>
      </c>
      <c r="C367" t="s">
        <v>668</v>
      </c>
      <c r="D367" s="130" t="s">
        <v>323</v>
      </c>
      <c r="E367" s="275">
        <v>225</v>
      </c>
      <c r="F367">
        <v>30</v>
      </c>
      <c r="G367">
        <v>460</v>
      </c>
      <c r="H367">
        <v>29</v>
      </c>
      <c r="I367">
        <f t="shared" si="16"/>
        <v>14.5</v>
      </c>
      <c r="J367" s="96">
        <f t="shared" si="17"/>
        <v>146.42254764454373</v>
      </c>
      <c r="L367" t="s">
        <v>331</v>
      </c>
    </row>
    <row r="368" spans="1:12">
      <c r="A368">
        <v>264</v>
      </c>
      <c r="B368" t="s">
        <v>672</v>
      </c>
      <c r="C368" t="s">
        <v>668</v>
      </c>
      <c r="D368" s="130" t="s">
        <v>323</v>
      </c>
      <c r="E368" s="275">
        <v>225</v>
      </c>
      <c r="F368">
        <v>30</v>
      </c>
      <c r="G368">
        <v>650</v>
      </c>
      <c r="H368">
        <v>30</v>
      </c>
      <c r="I368">
        <f t="shared" si="16"/>
        <v>15</v>
      </c>
      <c r="J368" s="96">
        <f t="shared" si="17"/>
        <v>206.90142601946394</v>
      </c>
      <c r="L368" t="s">
        <v>331</v>
      </c>
    </row>
    <row r="369" spans="1:12">
      <c r="A369">
        <v>199</v>
      </c>
      <c r="B369" t="s">
        <v>673</v>
      </c>
      <c r="C369" t="s">
        <v>668</v>
      </c>
      <c r="D369" s="130" t="s">
        <v>341</v>
      </c>
      <c r="E369" s="275">
        <v>275</v>
      </c>
      <c r="F369">
        <v>37</v>
      </c>
      <c r="G369">
        <v>640</v>
      </c>
      <c r="H369">
        <v>20</v>
      </c>
      <c r="I369">
        <f t="shared" si="16"/>
        <v>10</v>
      </c>
      <c r="J369" s="96">
        <f t="shared" si="17"/>
        <v>203.71832715762605</v>
      </c>
      <c r="K369" t="s">
        <v>335</v>
      </c>
      <c r="L369" t="s">
        <v>315</v>
      </c>
    </row>
    <row r="370" spans="1:12">
      <c r="A370">
        <v>224</v>
      </c>
      <c r="B370" t="s">
        <v>674</v>
      </c>
      <c r="C370" t="s">
        <v>675</v>
      </c>
      <c r="D370" s="130" t="s">
        <v>330</v>
      </c>
      <c r="E370" s="275">
        <v>250</v>
      </c>
      <c r="F370">
        <v>17</v>
      </c>
      <c r="G370">
        <v>455</v>
      </c>
      <c r="H370">
        <v>13</v>
      </c>
      <c r="I370">
        <f t="shared" si="16"/>
        <v>6.5</v>
      </c>
      <c r="J370" s="96">
        <f t="shared" si="17"/>
        <v>144.83099821362475</v>
      </c>
      <c r="K370" t="s">
        <v>333</v>
      </c>
      <c r="L370" t="s">
        <v>315</v>
      </c>
    </row>
    <row r="371" spans="1:12">
      <c r="A371">
        <v>74</v>
      </c>
      <c r="B371" t="s">
        <v>551</v>
      </c>
      <c r="C371" t="s">
        <v>676</v>
      </c>
      <c r="D371" s="130">
        <v>300</v>
      </c>
      <c r="E371" s="275">
        <v>300</v>
      </c>
      <c r="F371">
        <v>16</v>
      </c>
      <c r="G371">
        <v>550</v>
      </c>
      <c r="H371">
        <v>21</v>
      </c>
      <c r="I371">
        <f t="shared" si="16"/>
        <v>10.5</v>
      </c>
      <c r="J371" s="96">
        <f t="shared" si="17"/>
        <v>175.07043740108489</v>
      </c>
      <c r="L371" t="s">
        <v>331</v>
      </c>
    </row>
    <row r="372" spans="1:12">
      <c r="A372">
        <v>120</v>
      </c>
      <c r="B372" t="s">
        <v>648</v>
      </c>
      <c r="C372" t="s">
        <v>676</v>
      </c>
      <c r="D372" s="130" t="s">
        <v>382</v>
      </c>
      <c r="E372" s="275">
        <v>350</v>
      </c>
      <c r="F372">
        <v>23</v>
      </c>
      <c r="G372">
        <v>720</v>
      </c>
      <c r="H372">
        <v>20</v>
      </c>
      <c r="I372">
        <f t="shared" si="16"/>
        <v>10</v>
      </c>
      <c r="J372" s="96">
        <f t="shared" si="17"/>
        <v>229.18311805232929</v>
      </c>
      <c r="L372" t="s">
        <v>331</v>
      </c>
    </row>
    <row r="373" spans="1:12">
      <c r="A373">
        <v>197</v>
      </c>
      <c r="B373" t="s">
        <v>677</v>
      </c>
      <c r="C373" t="s">
        <v>678</v>
      </c>
      <c r="D373" s="130" t="s">
        <v>620</v>
      </c>
      <c r="E373" s="275">
        <v>110</v>
      </c>
      <c r="F373">
        <v>25</v>
      </c>
      <c r="G373">
        <v>180</v>
      </c>
      <c r="H373">
        <v>10</v>
      </c>
      <c r="I373">
        <f t="shared" si="16"/>
        <v>5</v>
      </c>
      <c r="J373" s="96">
        <f t="shared" si="17"/>
        <v>57.295779513082323</v>
      </c>
      <c r="K373" t="s">
        <v>333</v>
      </c>
      <c r="L373" t="s">
        <v>315</v>
      </c>
    </row>
    <row r="374" spans="1:12">
      <c r="A374">
        <v>21</v>
      </c>
      <c r="B374" t="s">
        <v>679</v>
      </c>
      <c r="C374" t="s">
        <v>680</v>
      </c>
      <c r="D374" s="130" t="s">
        <v>681</v>
      </c>
      <c r="E374" s="275">
        <v>220</v>
      </c>
      <c r="F374">
        <v>7</v>
      </c>
      <c r="G374">
        <v>180</v>
      </c>
      <c r="H374">
        <v>8</v>
      </c>
      <c r="I374">
        <f t="shared" si="16"/>
        <v>4</v>
      </c>
      <c r="J374" s="96">
        <f t="shared" si="17"/>
        <v>57.295779513082323</v>
      </c>
      <c r="L374" t="s">
        <v>331</v>
      </c>
    </row>
    <row r="375" spans="1:12">
      <c r="A375">
        <v>158</v>
      </c>
      <c r="B375" t="s">
        <v>682</v>
      </c>
      <c r="C375" t="s">
        <v>683</v>
      </c>
      <c r="D375" s="130" t="s">
        <v>684</v>
      </c>
      <c r="E375" s="275">
        <v>90</v>
      </c>
      <c r="F375">
        <v>35</v>
      </c>
      <c r="G375">
        <v>540</v>
      </c>
      <c r="H375">
        <v>26</v>
      </c>
      <c r="I375">
        <f t="shared" si="16"/>
        <v>13</v>
      </c>
      <c r="J375" s="96">
        <f t="shared" si="17"/>
        <v>171.88733853924697</v>
      </c>
      <c r="L375" t="s">
        <v>331</v>
      </c>
    </row>
    <row r="376" spans="1:12">
      <c r="A376">
        <v>91</v>
      </c>
      <c r="B376" t="s">
        <v>685</v>
      </c>
      <c r="C376" t="s">
        <v>686</v>
      </c>
      <c r="D376" s="130" t="s">
        <v>620</v>
      </c>
      <c r="E376" s="275">
        <v>110</v>
      </c>
      <c r="F376">
        <v>31</v>
      </c>
      <c r="G376">
        <v>500</v>
      </c>
      <c r="H376">
        <v>27</v>
      </c>
      <c r="I376">
        <f t="shared" si="16"/>
        <v>13.5</v>
      </c>
      <c r="J376" s="96">
        <f t="shared" si="17"/>
        <v>159.15494309189535</v>
      </c>
      <c r="L376" t="s">
        <v>331</v>
      </c>
    </row>
    <row r="377" spans="1:12">
      <c r="A377">
        <v>209</v>
      </c>
      <c r="B377" t="s">
        <v>687</v>
      </c>
      <c r="C377" t="s">
        <v>688</v>
      </c>
      <c r="D377" s="130" t="s">
        <v>598</v>
      </c>
      <c r="E377" s="275">
        <v>200</v>
      </c>
      <c r="F377">
        <v>32</v>
      </c>
      <c r="G377">
        <v>810</v>
      </c>
      <c r="H377">
        <v>19</v>
      </c>
      <c r="I377">
        <f t="shared" si="16"/>
        <v>9.5</v>
      </c>
      <c r="J377" s="96">
        <f t="shared" si="17"/>
        <v>257.83100780887048</v>
      </c>
      <c r="K377" t="s">
        <v>689</v>
      </c>
      <c r="L377" t="s">
        <v>331</v>
      </c>
    </row>
    <row r="378" spans="1:12">
      <c r="A378">
        <v>31</v>
      </c>
      <c r="B378" t="s">
        <v>690</v>
      </c>
      <c r="C378" t="s">
        <v>688</v>
      </c>
      <c r="D378" s="130" t="s">
        <v>382</v>
      </c>
      <c r="E378" s="275">
        <v>350</v>
      </c>
      <c r="F378">
        <v>22</v>
      </c>
      <c r="G378">
        <v>590</v>
      </c>
      <c r="H378">
        <v>21</v>
      </c>
      <c r="I378">
        <f t="shared" si="16"/>
        <v>10.5</v>
      </c>
      <c r="J378" s="96">
        <f t="shared" si="17"/>
        <v>187.80283284843651</v>
      </c>
      <c r="L378" t="s">
        <v>331</v>
      </c>
    </row>
    <row r="379" spans="1:12">
      <c r="A379">
        <v>39</v>
      </c>
      <c r="B379" t="s">
        <v>691</v>
      </c>
      <c r="C379" t="s">
        <v>688</v>
      </c>
      <c r="D379" s="130" t="s">
        <v>382</v>
      </c>
      <c r="E379" s="275">
        <v>350</v>
      </c>
      <c r="F379">
        <v>21</v>
      </c>
      <c r="G379">
        <v>540</v>
      </c>
      <c r="H379">
        <v>20</v>
      </c>
      <c r="I379">
        <f t="shared" si="16"/>
        <v>10</v>
      </c>
      <c r="J379" s="96">
        <f t="shared" si="17"/>
        <v>171.88733853924697</v>
      </c>
      <c r="L379" t="s">
        <v>331</v>
      </c>
    </row>
    <row r="380" spans="1:12">
      <c r="A380">
        <v>61</v>
      </c>
      <c r="B380" t="s">
        <v>692</v>
      </c>
      <c r="C380" t="s">
        <v>688</v>
      </c>
      <c r="D380" s="130" t="s">
        <v>382</v>
      </c>
      <c r="E380" s="275">
        <v>350</v>
      </c>
      <c r="F380">
        <v>18</v>
      </c>
      <c r="G380">
        <v>490</v>
      </c>
      <c r="H380">
        <v>14</v>
      </c>
      <c r="I380">
        <f t="shared" si="16"/>
        <v>7</v>
      </c>
      <c r="J380" s="96">
        <f t="shared" si="17"/>
        <v>155.97184423005743</v>
      </c>
      <c r="L380" t="s">
        <v>331</v>
      </c>
    </row>
    <row r="381" spans="1:12">
      <c r="A381">
        <v>259</v>
      </c>
      <c r="B381" t="s">
        <v>693</v>
      </c>
      <c r="C381" t="s">
        <v>688</v>
      </c>
      <c r="D381" s="130" t="s">
        <v>382</v>
      </c>
      <c r="E381" s="275">
        <v>350</v>
      </c>
      <c r="F381">
        <v>19</v>
      </c>
      <c r="G381">
        <v>520</v>
      </c>
      <c r="H381">
        <v>25</v>
      </c>
      <c r="I381">
        <f t="shared" ref="I381:I412" si="18">H381/2</f>
        <v>12.5</v>
      </c>
      <c r="J381" s="96">
        <f t="shared" ref="J381:J412" si="19">G381/PI()</f>
        <v>165.52114081557116</v>
      </c>
      <c r="L381" t="s">
        <v>331</v>
      </c>
    </row>
    <row r="382" spans="1:12">
      <c r="A382">
        <v>262</v>
      </c>
      <c r="B382" t="s">
        <v>694</v>
      </c>
      <c r="C382" t="s">
        <v>688</v>
      </c>
      <c r="D382" s="130" t="s">
        <v>382</v>
      </c>
      <c r="E382" s="275">
        <v>350</v>
      </c>
      <c r="F382">
        <v>24</v>
      </c>
      <c r="G382">
        <v>565</v>
      </c>
      <c r="H382">
        <v>17</v>
      </c>
      <c r="I382">
        <f t="shared" si="18"/>
        <v>8.5</v>
      </c>
      <c r="J382" s="96">
        <f t="shared" si="19"/>
        <v>179.84508569384172</v>
      </c>
      <c r="L382" t="s">
        <v>331</v>
      </c>
    </row>
    <row r="383" spans="1:12">
      <c r="A383">
        <v>263</v>
      </c>
      <c r="B383" t="s">
        <v>695</v>
      </c>
      <c r="C383" t="s">
        <v>688</v>
      </c>
      <c r="D383" s="130" t="s">
        <v>382</v>
      </c>
      <c r="E383" s="275">
        <v>350</v>
      </c>
      <c r="F383">
        <v>22</v>
      </c>
      <c r="G383">
        <v>810</v>
      </c>
      <c r="H383">
        <v>16</v>
      </c>
      <c r="I383">
        <f t="shared" si="18"/>
        <v>8</v>
      </c>
      <c r="J383" s="96">
        <f t="shared" si="19"/>
        <v>257.83100780887048</v>
      </c>
      <c r="K383" t="s">
        <v>696</v>
      </c>
      <c r="L383" t="s">
        <v>331</v>
      </c>
    </row>
    <row r="384" spans="1:12">
      <c r="A384">
        <v>37</v>
      </c>
      <c r="B384" t="s">
        <v>697</v>
      </c>
      <c r="C384" t="s">
        <v>688</v>
      </c>
      <c r="D384" s="130" t="s">
        <v>390</v>
      </c>
      <c r="E384" s="275">
        <v>375</v>
      </c>
      <c r="F384">
        <v>27</v>
      </c>
      <c r="G384">
        <v>540</v>
      </c>
      <c r="H384">
        <v>22</v>
      </c>
      <c r="I384">
        <f t="shared" si="18"/>
        <v>11</v>
      </c>
      <c r="J384" s="96">
        <f t="shared" si="19"/>
        <v>171.88733853924697</v>
      </c>
      <c r="L384" t="s">
        <v>331</v>
      </c>
    </row>
    <row r="385" spans="1:12">
      <c r="A385">
        <v>291</v>
      </c>
      <c r="B385" t="s">
        <v>547</v>
      </c>
      <c r="C385" t="s">
        <v>688</v>
      </c>
      <c r="D385" s="130" t="s">
        <v>390</v>
      </c>
      <c r="E385" s="275">
        <v>375</v>
      </c>
      <c r="F385">
        <v>20</v>
      </c>
      <c r="G385">
        <v>470</v>
      </c>
      <c r="H385">
        <v>20</v>
      </c>
      <c r="I385">
        <f t="shared" si="18"/>
        <v>10</v>
      </c>
      <c r="J385" s="96">
        <f t="shared" si="19"/>
        <v>149.60564650638162</v>
      </c>
      <c r="L385" t="s">
        <v>331</v>
      </c>
    </row>
    <row r="386" spans="1:12">
      <c r="A386">
        <v>38</v>
      </c>
      <c r="B386" t="s">
        <v>691</v>
      </c>
      <c r="C386" t="s">
        <v>688</v>
      </c>
      <c r="D386" s="130">
        <v>400</v>
      </c>
      <c r="E386" s="275">
        <v>400</v>
      </c>
      <c r="F386">
        <v>21</v>
      </c>
      <c r="G386">
        <v>470</v>
      </c>
      <c r="H386">
        <v>26</v>
      </c>
      <c r="I386">
        <f t="shared" si="18"/>
        <v>13</v>
      </c>
      <c r="J386" s="96">
        <f t="shared" si="19"/>
        <v>149.60564650638162</v>
      </c>
      <c r="L386" t="s">
        <v>331</v>
      </c>
    </row>
    <row r="387" spans="1:12">
      <c r="A387">
        <v>60</v>
      </c>
      <c r="B387" t="s">
        <v>698</v>
      </c>
      <c r="C387" t="s">
        <v>688</v>
      </c>
      <c r="D387" s="130" t="s">
        <v>395</v>
      </c>
      <c r="E387" s="275">
        <v>400</v>
      </c>
      <c r="F387">
        <v>22</v>
      </c>
      <c r="G387">
        <v>510</v>
      </c>
      <c r="H387">
        <v>17</v>
      </c>
      <c r="I387">
        <f t="shared" si="18"/>
        <v>8.5</v>
      </c>
      <c r="J387" s="96">
        <f t="shared" si="19"/>
        <v>162.33804195373324</v>
      </c>
      <c r="L387" t="s">
        <v>331</v>
      </c>
    </row>
    <row r="388" spans="1:12">
      <c r="A388">
        <v>180</v>
      </c>
      <c r="B388" t="s">
        <v>607</v>
      </c>
      <c r="C388" t="s">
        <v>688</v>
      </c>
      <c r="D388" s="130" t="s">
        <v>395</v>
      </c>
      <c r="E388" s="275">
        <v>400</v>
      </c>
      <c r="F388">
        <v>25</v>
      </c>
      <c r="G388">
        <v>545</v>
      </c>
      <c r="H388">
        <v>13</v>
      </c>
      <c r="I388">
        <f t="shared" si="18"/>
        <v>6.5</v>
      </c>
      <c r="J388" s="96">
        <f t="shared" si="19"/>
        <v>173.47888797016591</v>
      </c>
      <c r="L388" t="s">
        <v>331</v>
      </c>
    </row>
    <row r="389" spans="1:12">
      <c r="A389">
        <v>138</v>
      </c>
      <c r="B389" t="s">
        <v>699</v>
      </c>
      <c r="C389" t="s">
        <v>688</v>
      </c>
      <c r="D389" s="130" t="s">
        <v>399</v>
      </c>
      <c r="E389" s="275">
        <v>425</v>
      </c>
      <c r="F389">
        <v>20</v>
      </c>
      <c r="G389">
        <v>685</v>
      </c>
      <c r="H389">
        <v>18</v>
      </c>
      <c r="I389">
        <f t="shared" si="18"/>
        <v>9</v>
      </c>
      <c r="J389" s="96">
        <f t="shared" si="19"/>
        <v>218.04227203589662</v>
      </c>
      <c r="L389" t="s">
        <v>331</v>
      </c>
    </row>
    <row r="390" spans="1:12">
      <c r="A390">
        <v>221</v>
      </c>
      <c r="B390" t="s">
        <v>700</v>
      </c>
      <c r="C390" t="s">
        <v>688</v>
      </c>
      <c r="D390" s="130" t="s">
        <v>399</v>
      </c>
      <c r="E390" s="275">
        <v>425</v>
      </c>
      <c r="F390">
        <v>20</v>
      </c>
      <c r="G390">
        <v>550</v>
      </c>
      <c r="H390">
        <v>15</v>
      </c>
      <c r="I390">
        <f t="shared" si="18"/>
        <v>7.5</v>
      </c>
      <c r="J390" s="96">
        <f t="shared" si="19"/>
        <v>175.07043740108489</v>
      </c>
      <c r="L390" t="s">
        <v>331</v>
      </c>
    </row>
    <row r="391" spans="1:12">
      <c r="A391">
        <v>46</v>
      </c>
      <c r="B391" t="s">
        <v>701</v>
      </c>
      <c r="C391" t="s">
        <v>688</v>
      </c>
      <c r="D391" s="130" t="s">
        <v>401</v>
      </c>
      <c r="E391" s="275">
        <v>450</v>
      </c>
      <c r="F391">
        <v>22</v>
      </c>
      <c r="G391">
        <v>610</v>
      </c>
      <c r="H391">
        <v>12</v>
      </c>
      <c r="I391">
        <f t="shared" si="18"/>
        <v>6</v>
      </c>
      <c r="J391" s="96">
        <f t="shared" si="19"/>
        <v>194.16903057211232</v>
      </c>
      <c r="L391" t="s">
        <v>331</v>
      </c>
    </row>
    <row r="392" spans="1:12">
      <c r="A392">
        <v>95</v>
      </c>
      <c r="B392" t="s">
        <v>702</v>
      </c>
      <c r="C392" t="s">
        <v>688</v>
      </c>
      <c r="D392" s="130" t="s">
        <v>401</v>
      </c>
      <c r="E392" s="275">
        <v>450</v>
      </c>
      <c r="F392">
        <v>27</v>
      </c>
      <c r="G392">
        <v>630</v>
      </c>
      <c r="H392">
        <v>22</v>
      </c>
      <c r="I392">
        <f t="shared" si="18"/>
        <v>11</v>
      </c>
      <c r="J392" s="96">
        <f t="shared" si="19"/>
        <v>200.53522829578813</v>
      </c>
      <c r="L392" t="s">
        <v>331</v>
      </c>
    </row>
    <row r="393" spans="1:12">
      <c r="A393">
        <v>204</v>
      </c>
      <c r="B393" t="s">
        <v>703</v>
      </c>
      <c r="C393" t="s">
        <v>688</v>
      </c>
      <c r="D393" s="130" t="s">
        <v>401</v>
      </c>
      <c r="E393" s="275">
        <v>450</v>
      </c>
      <c r="F393">
        <v>22</v>
      </c>
      <c r="G393">
        <v>600</v>
      </c>
      <c r="H393">
        <v>22</v>
      </c>
      <c r="I393">
        <f t="shared" si="18"/>
        <v>11</v>
      </c>
      <c r="J393" s="96">
        <f t="shared" si="19"/>
        <v>190.9859317102744</v>
      </c>
      <c r="L393" t="s">
        <v>331</v>
      </c>
    </row>
    <row r="394" spans="1:12">
      <c r="A394">
        <v>308</v>
      </c>
      <c r="B394" t="s">
        <v>704</v>
      </c>
      <c r="C394" t="s">
        <v>688</v>
      </c>
      <c r="D394" s="130" t="s">
        <v>401</v>
      </c>
      <c r="E394" s="275">
        <v>450</v>
      </c>
      <c r="F394">
        <v>26</v>
      </c>
      <c r="G394">
        <v>650</v>
      </c>
      <c r="H394">
        <v>26</v>
      </c>
      <c r="I394">
        <f t="shared" si="18"/>
        <v>13</v>
      </c>
      <c r="J394" s="96">
        <f t="shared" si="19"/>
        <v>206.90142601946394</v>
      </c>
      <c r="L394" t="s">
        <v>331</v>
      </c>
    </row>
    <row r="395" spans="1:12">
      <c r="A395">
        <v>212</v>
      </c>
      <c r="B395" t="s">
        <v>705</v>
      </c>
      <c r="C395" t="s">
        <v>688</v>
      </c>
      <c r="D395" s="130" t="s">
        <v>549</v>
      </c>
      <c r="E395" s="275">
        <v>500</v>
      </c>
      <c r="F395">
        <v>23</v>
      </c>
      <c r="G395">
        <v>660</v>
      </c>
      <c r="H395">
        <v>15</v>
      </c>
      <c r="I395">
        <f t="shared" si="18"/>
        <v>7.5</v>
      </c>
      <c r="J395" s="96">
        <f t="shared" si="19"/>
        <v>210.08452488130186</v>
      </c>
      <c r="L395" t="s">
        <v>331</v>
      </c>
    </row>
    <row r="396" spans="1:12">
      <c r="A396">
        <v>55</v>
      </c>
      <c r="B396" t="s">
        <v>706</v>
      </c>
      <c r="C396" t="s">
        <v>688</v>
      </c>
      <c r="D396" s="130" t="s">
        <v>575</v>
      </c>
      <c r="E396" s="275">
        <v>700</v>
      </c>
      <c r="F396">
        <v>24</v>
      </c>
      <c r="G396">
        <v>950</v>
      </c>
      <c r="H396">
        <v>19</v>
      </c>
      <c r="I396">
        <f t="shared" si="18"/>
        <v>9.5</v>
      </c>
      <c r="J396" s="96">
        <f t="shared" si="19"/>
        <v>302.39439187460113</v>
      </c>
      <c r="L396" t="s">
        <v>331</v>
      </c>
    </row>
    <row r="397" spans="1:12">
      <c r="A397">
        <v>57</v>
      </c>
      <c r="B397" t="s">
        <v>707</v>
      </c>
      <c r="C397" t="s">
        <v>688</v>
      </c>
      <c r="D397" s="130" t="s">
        <v>575</v>
      </c>
      <c r="E397" s="275">
        <v>700</v>
      </c>
      <c r="F397">
        <v>18</v>
      </c>
      <c r="G397">
        <v>790</v>
      </c>
      <c r="H397">
        <v>15</v>
      </c>
      <c r="I397">
        <f t="shared" si="18"/>
        <v>7.5</v>
      </c>
      <c r="J397" s="96">
        <f t="shared" si="19"/>
        <v>251.46481008519464</v>
      </c>
      <c r="L397" t="s">
        <v>331</v>
      </c>
    </row>
    <row r="398" spans="1:12">
      <c r="A398">
        <v>33</v>
      </c>
      <c r="B398" t="s">
        <v>458</v>
      </c>
      <c r="C398" t="s">
        <v>688</v>
      </c>
      <c r="D398" s="130">
        <v>723</v>
      </c>
      <c r="E398" s="275">
        <v>723</v>
      </c>
      <c r="F398">
        <v>18</v>
      </c>
      <c r="G398">
        <v>630</v>
      </c>
      <c r="H398">
        <v>17</v>
      </c>
      <c r="I398">
        <f t="shared" si="18"/>
        <v>8.5</v>
      </c>
      <c r="J398" s="96">
        <f t="shared" si="19"/>
        <v>200.53522829578813</v>
      </c>
      <c r="L398" t="s">
        <v>331</v>
      </c>
    </row>
    <row r="399" spans="1:12">
      <c r="A399">
        <v>148</v>
      </c>
      <c r="B399" t="s">
        <v>708</v>
      </c>
      <c r="C399" t="s">
        <v>688</v>
      </c>
      <c r="D399" s="130">
        <v>800</v>
      </c>
      <c r="E399" s="275">
        <v>800</v>
      </c>
      <c r="F399">
        <v>18</v>
      </c>
      <c r="G399">
        <v>520</v>
      </c>
      <c r="H399">
        <v>17</v>
      </c>
      <c r="I399">
        <f t="shared" si="18"/>
        <v>8.5</v>
      </c>
      <c r="J399" s="96">
        <f t="shared" si="19"/>
        <v>165.52114081557116</v>
      </c>
      <c r="K399" t="s">
        <v>333</v>
      </c>
      <c r="L399" t="s">
        <v>315</v>
      </c>
    </row>
    <row r="400" spans="1:12">
      <c r="A400">
        <v>32</v>
      </c>
      <c r="B400" t="s">
        <v>709</v>
      </c>
      <c r="C400" t="s">
        <v>688</v>
      </c>
      <c r="D400" s="130" t="s">
        <v>627</v>
      </c>
      <c r="E400" s="275">
        <v>900</v>
      </c>
      <c r="F400">
        <v>24</v>
      </c>
      <c r="G400">
        <v>1065</v>
      </c>
      <c r="H400">
        <v>16</v>
      </c>
      <c r="I400">
        <f t="shared" si="18"/>
        <v>8</v>
      </c>
      <c r="J400" s="96">
        <f t="shared" si="19"/>
        <v>339.00002878573707</v>
      </c>
      <c r="K400" t="s">
        <v>710</v>
      </c>
      <c r="L400" t="s">
        <v>331</v>
      </c>
    </row>
    <row r="401" spans="1:12">
      <c r="A401">
        <v>204</v>
      </c>
      <c r="B401" t="s">
        <v>711</v>
      </c>
      <c r="C401" t="s">
        <v>712</v>
      </c>
      <c r="D401" s="130">
        <v>200</v>
      </c>
      <c r="E401" s="275">
        <v>200</v>
      </c>
      <c r="F401">
        <v>36</v>
      </c>
      <c r="G401">
        <v>415</v>
      </c>
      <c r="H401">
        <v>23</v>
      </c>
      <c r="I401">
        <f t="shared" si="18"/>
        <v>11.5</v>
      </c>
      <c r="J401" s="96">
        <f t="shared" si="19"/>
        <v>132.09860276627313</v>
      </c>
      <c r="K401" t="s">
        <v>333</v>
      </c>
      <c r="L401" t="s">
        <v>315</v>
      </c>
    </row>
    <row r="402" spans="1:12">
      <c r="A402">
        <v>118</v>
      </c>
      <c r="B402" t="s">
        <v>713</v>
      </c>
      <c r="C402" t="s">
        <v>712</v>
      </c>
      <c r="D402" s="130" t="s">
        <v>323</v>
      </c>
      <c r="E402" s="275">
        <v>225</v>
      </c>
      <c r="F402">
        <v>27</v>
      </c>
      <c r="G402">
        <v>710</v>
      </c>
      <c r="H402">
        <v>20</v>
      </c>
      <c r="I402">
        <f t="shared" si="18"/>
        <v>10</v>
      </c>
      <c r="J402" s="96">
        <f t="shared" si="19"/>
        <v>226.00001919049137</v>
      </c>
      <c r="K402" t="s">
        <v>333</v>
      </c>
      <c r="L402" t="s">
        <v>315</v>
      </c>
    </row>
    <row r="403" spans="1:12">
      <c r="A403">
        <v>189</v>
      </c>
      <c r="B403" t="s">
        <v>714</v>
      </c>
      <c r="C403" t="s">
        <v>712</v>
      </c>
      <c r="D403" s="130" t="s">
        <v>347</v>
      </c>
      <c r="E403" s="275">
        <v>300</v>
      </c>
      <c r="F403">
        <v>34</v>
      </c>
      <c r="G403">
        <v>500</v>
      </c>
      <c r="H403">
        <v>30</v>
      </c>
      <c r="I403">
        <f t="shared" si="18"/>
        <v>15</v>
      </c>
      <c r="J403" s="96">
        <f t="shared" si="19"/>
        <v>159.15494309189535</v>
      </c>
      <c r="K403" t="s">
        <v>333</v>
      </c>
      <c r="L403" t="s">
        <v>315</v>
      </c>
    </row>
    <row r="404" spans="1:12">
      <c r="A404">
        <v>314</v>
      </c>
      <c r="B404" t="s">
        <v>715</v>
      </c>
      <c r="C404" t="s">
        <v>716</v>
      </c>
      <c r="D404" s="130">
        <v>150</v>
      </c>
      <c r="E404" s="275">
        <v>150</v>
      </c>
      <c r="F404">
        <v>24</v>
      </c>
      <c r="G404">
        <v>430</v>
      </c>
      <c r="H404">
        <v>10</v>
      </c>
      <c r="I404">
        <f t="shared" si="18"/>
        <v>5</v>
      </c>
      <c r="J404" s="96">
        <f t="shared" si="19"/>
        <v>136.87325105903</v>
      </c>
      <c r="L404" t="s">
        <v>331</v>
      </c>
    </row>
    <row r="405" spans="1:12">
      <c r="A405">
        <v>192</v>
      </c>
      <c r="B405" t="s">
        <v>331</v>
      </c>
      <c r="C405" t="s">
        <v>716</v>
      </c>
      <c r="D405" s="130">
        <v>155</v>
      </c>
      <c r="E405" s="275">
        <v>155</v>
      </c>
      <c r="F405">
        <v>30</v>
      </c>
      <c r="G405">
        <v>110</v>
      </c>
      <c r="H405">
        <v>10</v>
      </c>
      <c r="I405">
        <f t="shared" si="18"/>
        <v>5</v>
      </c>
      <c r="J405" s="96">
        <f t="shared" si="19"/>
        <v>35.014087480216972</v>
      </c>
      <c r="L405" t="s">
        <v>331</v>
      </c>
    </row>
    <row r="406" spans="1:12">
      <c r="A406">
        <v>176</v>
      </c>
      <c r="B406" t="s">
        <v>537</v>
      </c>
      <c r="C406" t="s">
        <v>716</v>
      </c>
      <c r="D406" s="130">
        <v>228</v>
      </c>
      <c r="E406" s="275">
        <v>228</v>
      </c>
      <c r="F406">
        <v>22</v>
      </c>
      <c r="G406">
        <v>460</v>
      </c>
      <c r="H406">
        <v>16</v>
      </c>
      <c r="I406">
        <f t="shared" si="18"/>
        <v>8</v>
      </c>
      <c r="J406" s="96">
        <f t="shared" si="19"/>
        <v>146.42254764454373</v>
      </c>
      <c r="L406" t="s">
        <v>331</v>
      </c>
    </row>
    <row r="407" spans="1:12">
      <c r="A407">
        <v>152</v>
      </c>
      <c r="B407" t="s">
        <v>511</v>
      </c>
      <c r="C407" t="s">
        <v>717</v>
      </c>
      <c r="D407" s="130" t="s">
        <v>330</v>
      </c>
      <c r="E407" s="275">
        <v>250</v>
      </c>
      <c r="F407">
        <v>28</v>
      </c>
      <c r="G407">
        <v>540</v>
      </c>
      <c r="H407">
        <v>22</v>
      </c>
      <c r="I407">
        <f t="shared" si="18"/>
        <v>11</v>
      </c>
      <c r="J407" s="96">
        <f t="shared" si="19"/>
        <v>171.88733853924697</v>
      </c>
      <c r="L407" t="s">
        <v>331</v>
      </c>
    </row>
    <row r="408" spans="1:12">
      <c r="A408">
        <v>227</v>
      </c>
      <c r="B408" t="s">
        <v>718</v>
      </c>
      <c r="C408" t="s">
        <v>717</v>
      </c>
      <c r="D408" s="130" t="s">
        <v>341</v>
      </c>
      <c r="E408" s="275">
        <v>275</v>
      </c>
      <c r="F408">
        <v>24</v>
      </c>
      <c r="G408">
        <v>570</v>
      </c>
      <c r="H408">
        <v>16</v>
      </c>
      <c r="I408">
        <f t="shared" si="18"/>
        <v>8</v>
      </c>
      <c r="J408" s="96">
        <f t="shared" si="19"/>
        <v>181.4366351247607</v>
      </c>
      <c r="L408" t="s">
        <v>331</v>
      </c>
    </row>
    <row r="409" spans="1:12">
      <c r="A409">
        <v>42</v>
      </c>
      <c r="B409" t="s">
        <v>719</v>
      </c>
      <c r="C409" t="s">
        <v>717</v>
      </c>
      <c r="D409" s="130">
        <v>300</v>
      </c>
      <c r="E409" s="275">
        <v>300</v>
      </c>
      <c r="F409">
        <v>32</v>
      </c>
      <c r="G409">
        <v>490</v>
      </c>
      <c r="H409">
        <v>29</v>
      </c>
      <c r="I409">
        <f t="shared" si="18"/>
        <v>14.5</v>
      </c>
      <c r="J409" s="96">
        <f t="shared" si="19"/>
        <v>155.97184423005743</v>
      </c>
      <c r="L409" t="s">
        <v>331</v>
      </c>
    </row>
    <row r="410" spans="1:12">
      <c r="A410">
        <v>224</v>
      </c>
      <c r="B410" t="s">
        <v>720</v>
      </c>
      <c r="C410" t="s">
        <v>717</v>
      </c>
      <c r="D410" s="130" t="s">
        <v>382</v>
      </c>
      <c r="E410" s="275">
        <v>350</v>
      </c>
      <c r="F410">
        <v>15</v>
      </c>
      <c r="G410">
        <v>600</v>
      </c>
      <c r="H410">
        <v>15</v>
      </c>
      <c r="I410">
        <f t="shared" si="18"/>
        <v>7.5</v>
      </c>
      <c r="J410" s="96">
        <f t="shared" si="19"/>
        <v>190.9859317102744</v>
      </c>
      <c r="L410" t="s">
        <v>331</v>
      </c>
    </row>
    <row r="411" spans="1:12">
      <c r="A411">
        <v>119</v>
      </c>
      <c r="B411" t="s">
        <v>721</v>
      </c>
      <c r="C411" t="s">
        <v>717</v>
      </c>
      <c r="D411" s="130" t="s">
        <v>401</v>
      </c>
      <c r="E411" s="275">
        <v>450</v>
      </c>
      <c r="F411">
        <v>12</v>
      </c>
      <c r="G411">
        <v>510</v>
      </c>
      <c r="H411">
        <v>13</v>
      </c>
      <c r="I411">
        <f t="shared" si="18"/>
        <v>6.5</v>
      </c>
      <c r="J411" s="96">
        <f t="shared" si="19"/>
        <v>162.33804195373324</v>
      </c>
      <c r="K411" t="s">
        <v>722</v>
      </c>
      <c r="L411" t="s">
        <v>331</v>
      </c>
    </row>
    <row r="412" spans="1:12">
      <c r="A412">
        <v>284</v>
      </c>
      <c r="B412" t="s">
        <v>723</v>
      </c>
      <c r="C412" t="s">
        <v>717</v>
      </c>
      <c r="D412" s="130" t="s">
        <v>724</v>
      </c>
      <c r="E412" s="275">
        <v>500</v>
      </c>
      <c r="F412">
        <v>7</v>
      </c>
      <c r="G412">
        <v>635</v>
      </c>
      <c r="H412">
        <v>7</v>
      </c>
      <c r="I412">
        <f t="shared" si="18"/>
        <v>3.5</v>
      </c>
      <c r="J412" s="96">
        <f t="shared" si="19"/>
        <v>202.12677772670708</v>
      </c>
      <c r="K412" t="s">
        <v>725</v>
      </c>
      <c r="L412" t="s">
        <v>331</v>
      </c>
    </row>
    <row r="413" spans="1:12">
      <c r="A413">
        <v>20</v>
      </c>
      <c r="B413" t="s">
        <v>726</v>
      </c>
      <c r="C413" t="s">
        <v>717</v>
      </c>
      <c r="D413" s="130" t="s">
        <v>559</v>
      </c>
      <c r="E413" s="275">
        <v>550</v>
      </c>
      <c r="F413">
        <v>15</v>
      </c>
      <c r="G413">
        <v>670</v>
      </c>
      <c r="H413">
        <v>16</v>
      </c>
      <c r="I413">
        <f t="shared" ref="I413:I444" si="20">H413/2</f>
        <v>8</v>
      </c>
      <c r="J413" s="96">
        <f t="shared" ref="J413:J449" si="21">G413/PI()</f>
        <v>213.26762374313975</v>
      </c>
      <c r="L413" t="s">
        <v>331</v>
      </c>
    </row>
    <row r="414" spans="1:12">
      <c r="A414">
        <v>2</v>
      </c>
      <c r="B414" t="s">
        <v>727</v>
      </c>
      <c r="C414" t="s">
        <v>717</v>
      </c>
      <c r="D414" s="130" t="s">
        <v>728</v>
      </c>
      <c r="E414" s="275">
        <v>850</v>
      </c>
      <c r="F414">
        <v>19</v>
      </c>
      <c r="G414">
        <v>950</v>
      </c>
      <c r="H414">
        <v>16</v>
      </c>
      <c r="I414">
        <f t="shared" si="20"/>
        <v>8</v>
      </c>
      <c r="J414" s="96">
        <f t="shared" si="21"/>
        <v>302.39439187460113</v>
      </c>
      <c r="L414" t="s">
        <v>331</v>
      </c>
    </row>
    <row r="415" spans="1:12">
      <c r="A415">
        <v>189</v>
      </c>
      <c r="B415" t="s">
        <v>729</v>
      </c>
      <c r="C415" t="s">
        <v>730</v>
      </c>
      <c r="D415" s="130" t="s">
        <v>374</v>
      </c>
      <c r="E415" s="275">
        <v>125</v>
      </c>
      <c r="F415">
        <v>14</v>
      </c>
      <c r="G415">
        <v>180</v>
      </c>
      <c r="H415">
        <v>18</v>
      </c>
      <c r="I415">
        <f t="shared" si="20"/>
        <v>9</v>
      </c>
      <c r="J415" s="96">
        <f t="shared" si="21"/>
        <v>57.295779513082323</v>
      </c>
      <c r="L415" t="s">
        <v>331</v>
      </c>
    </row>
    <row r="416" spans="1:12">
      <c r="A416">
        <v>76</v>
      </c>
      <c r="B416" t="s">
        <v>731</v>
      </c>
      <c r="C416" t="s">
        <v>732</v>
      </c>
      <c r="D416" s="130">
        <v>160</v>
      </c>
      <c r="E416" s="275">
        <v>160</v>
      </c>
      <c r="F416">
        <v>10</v>
      </c>
      <c r="G416">
        <v>300</v>
      </c>
      <c r="H416">
        <v>8</v>
      </c>
      <c r="I416">
        <f t="shared" si="20"/>
        <v>4</v>
      </c>
      <c r="J416" s="96">
        <f t="shared" si="21"/>
        <v>95.4929658551372</v>
      </c>
      <c r="L416" t="s">
        <v>331</v>
      </c>
    </row>
    <row r="417" spans="1:12">
      <c r="A417">
        <v>200</v>
      </c>
      <c r="B417" t="s">
        <v>673</v>
      </c>
      <c r="C417" t="s">
        <v>733</v>
      </c>
      <c r="D417" s="130" t="s">
        <v>734</v>
      </c>
      <c r="E417" s="275">
        <v>135</v>
      </c>
      <c r="F417">
        <v>15</v>
      </c>
      <c r="G417">
        <v>405</v>
      </c>
      <c r="H417">
        <v>11</v>
      </c>
      <c r="I417">
        <f t="shared" si="20"/>
        <v>5.5</v>
      </c>
      <c r="J417" s="96">
        <f t="shared" si="21"/>
        <v>128.91550390443524</v>
      </c>
      <c r="K417" t="s">
        <v>333</v>
      </c>
      <c r="L417" t="s">
        <v>315</v>
      </c>
    </row>
    <row r="418" spans="1:12">
      <c r="A418">
        <v>183</v>
      </c>
      <c r="B418" t="s">
        <v>574</v>
      </c>
      <c r="C418" t="s">
        <v>733</v>
      </c>
      <c r="D418" s="130" t="s">
        <v>735</v>
      </c>
      <c r="E418" s="275">
        <v>150</v>
      </c>
      <c r="F418">
        <v>16</v>
      </c>
      <c r="G418">
        <v>300</v>
      </c>
      <c r="H418">
        <v>14</v>
      </c>
      <c r="I418">
        <f t="shared" si="20"/>
        <v>7</v>
      </c>
      <c r="J418" s="96">
        <f t="shared" si="21"/>
        <v>95.4929658551372</v>
      </c>
      <c r="L418" t="s">
        <v>315</v>
      </c>
    </row>
    <row r="419" spans="1:12">
      <c r="A419">
        <v>190</v>
      </c>
      <c r="B419" t="s">
        <v>736</v>
      </c>
      <c r="C419" t="s">
        <v>733</v>
      </c>
      <c r="D419" s="130" t="s">
        <v>737</v>
      </c>
      <c r="E419" s="275">
        <v>160</v>
      </c>
      <c r="F419">
        <v>22</v>
      </c>
      <c r="G419">
        <v>330</v>
      </c>
      <c r="H419">
        <v>21</v>
      </c>
      <c r="I419">
        <f t="shared" si="20"/>
        <v>10.5</v>
      </c>
      <c r="J419" s="96">
        <f t="shared" si="21"/>
        <v>105.04226244065093</v>
      </c>
      <c r="K419" t="s">
        <v>738</v>
      </c>
      <c r="L419" t="s">
        <v>331</v>
      </c>
    </row>
    <row r="420" spans="1:12">
      <c r="A420">
        <v>322</v>
      </c>
      <c r="B420" t="s">
        <v>739</v>
      </c>
      <c r="C420" t="s">
        <v>740</v>
      </c>
      <c r="D420" s="130">
        <v>205</v>
      </c>
      <c r="E420" s="275">
        <v>205</v>
      </c>
      <c r="F420">
        <v>31</v>
      </c>
      <c r="G420">
        <v>520</v>
      </c>
      <c r="H420">
        <v>19</v>
      </c>
      <c r="I420">
        <f t="shared" si="20"/>
        <v>9.5</v>
      </c>
      <c r="J420" s="96">
        <f t="shared" si="21"/>
        <v>165.52114081557116</v>
      </c>
      <c r="K420" t="s">
        <v>741</v>
      </c>
      <c r="L420" t="s">
        <v>331</v>
      </c>
    </row>
    <row r="421" spans="1:12">
      <c r="A421">
        <v>12</v>
      </c>
      <c r="B421" t="s">
        <v>548</v>
      </c>
      <c r="C421" t="s">
        <v>740</v>
      </c>
      <c r="D421" s="130" t="s">
        <v>347</v>
      </c>
      <c r="E421" s="275">
        <v>300</v>
      </c>
      <c r="F421">
        <v>21</v>
      </c>
      <c r="G421">
        <v>510</v>
      </c>
      <c r="H421">
        <v>19</v>
      </c>
      <c r="I421">
        <f t="shared" si="20"/>
        <v>9.5</v>
      </c>
      <c r="J421" s="96">
        <f t="shared" si="21"/>
        <v>162.33804195373324</v>
      </c>
      <c r="L421" t="s">
        <v>331</v>
      </c>
    </row>
    <row r="422" spans="1:12">
      <c r="A422">
        <v>104</v>
      </c>
      <c r="B422" t="s">
        <v>742</v>
      </c>
      <c r="C422" t="s">
        <v>740</v>
      </c>
      <c r="D422" s="130">
        <v>300</v>
      </c>
      <c r="E422" s="275">
        <v>300</v>
      </c>
      <c r="F422">
        <v>28</v>
      </c>
      <c r="G422">
        <v>430</v>
      </c>
      <c r="H422">
        <v>19</v>
      </c>
      <c r="I422">
        <f t="shared" si="20"/>
        <v>9.5</v>
      </c>
      <c r="J422" s="96">
        <f t="shared" si="21"/>
        <v>136.87325105903</v>
      </c>
      <c r="L422" t="s">
        <v>331</v>
      </c>
    </row>
    <row r="423" spans="1:12">
      <c r="A423">
        <v>104</v>
      </c>
      <c r="B423" t="s">
        <v>742</v>
      </c>
      <c r="C423" t="s">
        <v>740</v>
      </c>
      <c r="D423" s="130">
        <v>300</v>
      </c>
      <c r="E423" s="275">
        <v>300</v>
      </c>
      <c r="F423">
        <v>28</v>
      </c>
      <c r="G423">
        <v>375</v>
      </c>
      <c r="H423">
        <v>19</v>
      </c>
      <c r="I423">
        <f t="shared" si="20"/>
        <v>9.5</v>
      </c>
      <c r="J423" s="96">
        <f t="shared" si="21"/>
        <v>119.36620731892151</v>
      </c>
      <c r="L423" t="s">
        <v>331</v>
      </c>
    </row>
    <row r="424" spans="1:12">
      <c r="A424">
        <v>164</v>
      </c>
      <c r="B424" t="s">
        <v>743</v>
      </c>
      <c r="C424" t="s">
        <v>740</v>
      </c>
      <c r="D424" s="130" t="s">
        <v>350</v>
      </c>
      <c r="E424" s="275">
        <v>325</v>
      </c>
      <c r="F424">
        <v>29</v>
      </c>
      <c r="G424">
        <v>540</v>
      </c>
      <c r="H424">
        <v>24</v>
      </c>
      <c r="I424">
        <f t="shared" si="20"/>
        <v>12</v>
      </c>
      <c r="J424" s="96">
        <f t="shared" si="21"/>
        <v>171.88733853924697</v>
      </c>
      <c r="L424" t="s">
        <v>331</v>
      </c>
    </row>
    <row r="425" spans="1:12">
      <c r="A425">
        <v>113</v>
      </c>
      <c r="B425" t="s">
        <v>340</v>
      </c>
      <c r="C425" t="s">
        <v>740</v>
      </c>
      <c r="D425" s="130" t="s">
        <v>382</v>
      </c>
      <c r="E425" s="275">
        <v>350</v>
      </c>
      <c r="F425">
        <v>26</v>
      </c>
      <c r="G425">
        <v>540</v>
      </c>
      <c r="H425">
        <v>16</v>
      </c>
      <c r="I425">
        <f t="shared" si="20"/>
        <v>8</v>
      </c>
      <c r="J425" s="96">
        <f t="shared" si="21"/>
        <v>171.88733853924697</v>
      </c>
      <c r="L425" t="s">
        <v>331</v>
      </c>
    </row>
    <row r="426" spans="1:12">
      <c r="A426">
        <v>125</v>
      </c>
      <c r="B426" t="s">
        <v>451</v>
      </c>
      <c r="C426" t="s">
        <v>740</v>
      </c>
      <c r="D426" s="130" t="s">
        <v>382</v>
      </c>
      <c r="E426" s="275">
        <v>350</v>
      </c>
      <c r="F426">
        <v>28</v>
      </c>
      <c r="G426">
        <v>550</v>
      </c>
      <c r="H426">
        <v>18</v>
      </c>
      <c r="I426">
        <f t="shared" si="20"/>
        <v>9</v>
      </c>
      <c r="J426" s="96">
        <f t="shared" si="21"/>
        <v>175.07043740108489</v>
      </c>
      <c r="L426" t="s">
        <v>331</v>
      </c>
    </row>
    <row r="427" spans="1:12">
      <c r="A427">
        <v>167</v>
      </c>
      <c r="B427" t="s">
        <v>744</v>
      </c>
      <c r="C427" t="s">
        <v>740</v>
      </c>
      <c r="D427" s="130" t="s">
        <v>382</v>
      </c>
      <c r="E427" s="275">
        <v>350</v>
      </c>
      <c r="F427">
        <v>32</v>
      </c>
      <c r="G427">
        <v>525</v>
      </c>
      <c r="H427">
        <v>23</v>
      </c>
      <c r="I427">
        <f t="shared" si="20"/>
        <v>11.5</v>
      </c>
      <c r="J427" s="96">
        <f t="shared" si="21"/>
        <v>167.1126902464901</v>
      </c>
      <c r="L427" t="s">
        <v>331</v>
      </c>
    </row>
    <row r="428" spans="1:12">
      <c r="A428">
        <v>242</v>
      </c>
      <c r="B428" t="s">
        <v>745</v>
      </c>
      <c r="C428" t="s">
        <v>740</v>
      </c>
      <c r="D428" s="130" t="s">
        <v>382</v>
      </c>
      <c r="E428" s="275">
        <v>350</v>
      </c>
      <c r="F428">
        <v>35</v>
      </c>
      <c r="G428">
        <v>500</v>
      </c>
      <c r="H428">
        <v>25</v>
      </c>
      <c r="I428">
        <f t="shared" si="20"/>
        <v>12.5</v>
      </c>
      <c r="J428" s="96">
        <f t="shared" si="21"/>
        <v>159.15494309189535</v>
      </c>
      <c r="L428" t="s">
        <v>331</v>
      </c>
    </row>
    <row r="429" spans="1:12">
      <c r="A429">
        <v>278</v>
      </c>
      <c r="B429" t="s">
        <v>746</v>
      </c>
      <c r="C429" t="s">
        <v>740</v>
      </c>
      <c r="D429" s="130" t="s">
        <v>382</v>
      </c>
      <c r="E429" s="275">
        <v>350</v>
      </c>
      <c r="F429">
        <v>21</v>
      </c>
      <c r="G429">
        <v>490</v>
      </c>
      <c r="H429">
        <v>20</v>
      </c>
      <c r="I429">
        <f t="shared" si="20"/>
        <v>10</v>
      </c>
      <c r="J429" s="96">
        <f t="shared" si="21"/>
        <v>155.97184423005743</v>
      </c>
      <c r="L429" t="s">
        <v>331</v>
      </c>
    </row>
    <row r="430" spans="1:12">
      <c r="A430">
        <v>310</v>
      </c>
      <c r="B430" t="s">
        <v>747</v>
      </c>
      <c r="C430" t="s">
        <v>740</v>
      </c>
      <c r="D430" s="130" t="s">
        <v>382</v>
      </c>
      <c r="E430" s="275">
        <v>350</v>
      </c>
      <c r="F430">
        <v>26</v>
      </c>
      <c r="G430">
        <v>280</v>
      </c>
      <c r="H430">
        <v>16</v>
      </c>
      <c r="I430">
        <f t="shared" si="20"/>
        <v>8</v>
      </c>
      <c r="J430" s="96">
        <f t="shared" si="21"/>
        <v>89.12676813146139</v>
      </c>
      <c r="K430" t="s">
        <v>748</v>
      </c>
      <c r="L430" t="s">
        <v>331</v>
      </c>
    </row>
    <row r="431" spans="1:12">
      <c r="A431">
        <v>310</v>
      </c>
      <c r="B431" t="s">
        <v>747</v>
      </c>
      <c r="C431" t="s">
        <v>740</v>
      </c>
      <c r="D431" s="130" t="s">
        <v>382</v>
      </c>
      <c r="E431" s="275">
        <v>350</v>
      </c>
      <c r="F431">
        <v>32</v>
      </c>
      <c r="G431">
        <v>700</v>
      </c>
      <c r="H431">
        <v>29</v>
      </c>
      <c r="I431">
        <f t="shared" si="20"/>
        <v>14.5</v>
      </c>
      <c r="J431" s="96">
        <f t="shared" si="21"/>
        <v>222.81692032865348</v>
      </c>
      <c r="K431" t="s">
        <v>749</v>
      </c>
      <c r="L431" t="s">
        <v>331</v>
      </c>
    </row>
    <row r="432" spans="1:12">
      <c r="A432">
        <v>103</v>
      </c>
      <c r="B432" t="s">
        <v>742</v>
      </c>
      <c r="C432" t="s">
        <v>740</v>
      </c>
      <c r="D432" s="130" t="s">
        <v>390</v>
      </c>
      <c r="E432" s="275">
        <v>375</v>
      </c>
      <c r="F432">
        <v>30</v>
      </c>
      <c r="G432">
        <v>520</v>
      </c>
      <c r="H432">
        <v>20</v>
      </c>
      <c r="I432">
        <f t="shared" si="20"/>
        <v>10</v>
      </c>
      <c r="J432" s="96">
        <f t="shared" si="21"/>
        <v>165.52114081557116</v>
      </c>
      <c r="L432" t="s">
        <v>331</v>
      </c>
    </row>
    <row r="433" spans="1:12">
      <c r="A433">
        <v>45</v>
      </c>
      <c r="B433" t="s">
        <v>589</v>
      </c>
      <c r="C433" t="s">
        <v>740</v>
      </c>
      <c r="D433" s="130" t="s">
        <v>395</v>
      </c>
      <c r="E433" s="275">
        <v>400</v>
      </c>
      <c r="F433">
        <v>31</v>
      </c>
      <c r="G433">
        <v>530</v>
      </c>
      <c r="H433">
        <v>17</v>
      </c>
      <c r="I433">
        <f t="shared" si="20"/>
        <v>8.5</v>
      </c>
      <c r="J433" s="96">
        <f t="shared" si="21"/>
        <v>168.70423967740905</v>
      </c>
      <c r="L433" t="s">
        <v>331</v>
      </c>
    </row>
    <row r="434" spans="1:12">
      <c r="A434">
        <v>118</v>
      </c>
      <c r="B434" t="s">
        <v>99</v>
      </c>
      <c r="C434" t="s">
        <v>740</v>
      </c>
      <c r="D434" s="130">
        <v>400</v>
      </c>
      <c r="E434" s="275">
        <v>400</v>
      </c>
      <c r="F434">
        <v>25</v>
      </c>
      <c r="G434">
        <v>560</v>
      </c>
      <c r="H434">
        <v>23</v>
      </c>
      <c r="I434">
        <f t="shared" si="20"/>
        <v>11.5</v>
      </c>
      <c r="J434" s="96">
        <f t="shared" si="21"/>
        <v>178.25353626292278</v>
      </c>
      <c r="L434" t="s">
        <v>331</v>
      </c>
    </row>
    <row r="435" spans="1:12">
      <c r="A435">
        <v>179</v>
      </c>
      <c r="B435" t="s">
        <v>387</v>
      </c>
      <c r="C435" t="s">
        <v>740</v>
      </c>
      <c r="D435" s="130" t="s">
        <v>395</v>
      </c>
      <c r="E435" s="275">
        <v>400</v>
      </c>
      <c r="F435">
        <v>34</v>
      </c>
      <c r="G435">
        <v>660</v>
      </c>
      <c r="H435">
        <v>18</v>
      </c>
      <c r="I435">
        <f t="shared" si="20"/>
        <v>9</v>
      </c>
      <c r="J435" s="96">
        <f t="shared" si="21"/>
        <v>210.08452488130186</v>
      </c>
      <c r="L435" t="s">
        <v>331</v>
      </c>
    </row>
    <row r="436" spans="1:12">
      <c r="A436">
        <v>182</v>
      </c>
      <c r="B436" t="s">
        <v>471</v>
      </c>
      <c r="C436" t="s">
        <v>740</v>
      </c>
      <c r="D436" s="130" t="s">
        <v>395</v>
      </c>
      <c r="E436" s="275">
        <v>400</v>
      </c>
      <c r="F436">
        <v>28</v>
      </c>
      <c r="G436">
        <v>615</v>
      </c>
      <c r="H436">
        <v>23</v>
      </c>
      <c r="I436">
        <f t="shared" si="20"/>
        <v>11.5</v>
      </c>
      <c r="J436" s="96">
        <f t="shared" si="21"/>
        <v>195.76058000303127</v>
      </c>
      <c r="L436" t="s">
        <v>331</v>
      </c>
    </row>
    <row r="437" spans="1:12">
      <c r="A437">
        <v>220</v>
      </c>
      <c r="B437" t="s">
        <v>750</v>
      </c>
      <c r="C437" t="s">
        <v>740</v>
      </c>
      <c r="D437" s="130" t="s">
        <v>514</v>
      </c>
      <c r="E437" s="275">
        <v>400</v>
      </c>
      <c r="F437">
        <v>23</v>
      </c>
      <c r="G437">
        <v>660</v>
      </c>
      <c r="H437">
        <v>22</v>
      </c>
      <c r="I437">
        <f t="shared" si="20"/>
        <v>11</v>
      </c>
      <c r="J437" s="96">
        <f t="shared" si="21"/>
        <v>210.08452488130186</v>
      </c>
      <c r="L437" t="s">
        <v>331</v>
      </c>
    </row>
    <row r="438" spans="1:12">
      <c r="A438">
        <v>85</v>
      </c>
      <c r="B438" t="s">
        <v>751</v>
      </c>
      <c r="C438" t="s">
        <v>740</v>
      </c>
      <c r="D438" s="130" t="s">
        <v>399</v>
      </c>
      <c r="E438" s="275">
        <v>425</v>
      </c>
      <c r="F438">
        <v>26</v>
      </c>
      <c r="G438">
        <v>570</v>
      </c>
      <c r="H438">
        <v>21</v>
      </c>
      <c r="I438">
        <f t="shared" si="20"/>
        <v>10.5</v>
      </c>
      <c r="J438" s="96">
        <f t="shared" si="21"/>
        <v>181.4366351247607</v>
      </c>
      <c r="L438" t="s">
        <v>331</v>
      </c>
    </row>
    <row r="439" spans="1:12">
      <c r="A439">
        <v>84</v>
      </c>
      <c r="B439" t="s">
        <v>752</v>
      </c>
      <c r="C439" t="s">
        <v>740</v>
      </c>
      <c r="D439" s="130" t="s">
        <v>401</v>
      </c>
      <c r="E439" s="275">
        <v>450</v>
      </c>
      <c r="F439">
        <v>24</v>
      </c>
      <c r="G439">
        <v>670</v>
      </c>
      <c r="H439">
        <v>20</v>
      </c>
      <c r="I439">
        <f t="shared" si="20"/>
        <v>10</v>
      </c>
      <c r="J439" s="96">
        <f t="shared" si="21"/>
        <v>213.26762374313975</v>
      </c>
      <c r="L439" t="s">
        <v>331</v>
      </c>
    </row>
    <row r="440" spans="1:12">
      <c r="A440">
        <v>172</v>
      </c>
      <c r="B440" t="s">
        <v>356</v>
      </c>
      <c r="C440" t="s">
        <v>740</v>
      </c>
      <c r="D440" s="130" t="s">
        <v>401</v>
      </c>
      <c r="E440" s="275">
        <v>450</v>
      </c>
      <c r="F440">
        <v>28</v>
      </c>
      <c r="G440">
        <v>610</v>
      </c>
      <c r="H440">
        <v>18</v>
      </c>
      <c r="I440">
        <f t="shared" si="20"/>
        <v>9</v>
      </c>
      <c r="J440" s="96">
        <f t="shared" si="21"/>
        <v>194.16903057211232</v>
      </c>
      <c r="L440" t="s">
        <v>331</v>
      </c>
    </row>
    <row r="441" spans="1:12">
      <c r="A441">
        <v>186</v>
      </c>
      <c r="B441" t="s">
        <v>753</v>
      </c>
      <c r="C441" t="s">
        <v>740</v>
      </c>
      <c r="D441" s="130" t="s">
        <v>401</v>
      </c>
      <c r="E441" s="275">
        <v>450</v>
      </c>
      <c r="F441">
        <v>35</v>
      </c>
      <c r="G441">
        <v>605</v>
      </c>
      <c r="H441">
        <v>27</v>
      </c>
      <c r="I441">
        <f t="shared" si="20"/>
        <v>13.5</v>
      </c>
      <c r="J441" s="96">
        <f t="shared" si="21"/>
        <v>192.57748114119337</v>
      </c>
      <c r="L441" t="s">
        <v>331</v>
      </c>
    </row>
    <row r="442" spans="1:12">
      <c r="A442">
        <v>207</v>
      </c>
      <c r="B442" t="s">
        <v>754</v>
      </c>
      <c r="C442" t="s">
        <v>740</v>
      </c>
      <c r="D442" s="130" t="s">
        <v>401</v>
      </c>
      <c r="E442" s="275">
        <v>450</v>
      </c>
      <c r="F442">
        <v>20</v>
      </c>
      <c r="G442">
        <v>700</v>
      </c>
      <c r="H442">
        <v>20</v>
      </c>
      <c r="I442">
        <f t="shared" si="20"/>
        <v>10</v>
      </c>
      <c r="J442" s="96">
        <f t="shared" si="21"/>
        <v>222.81692032865348</v>
      </c>
      <c r="L442" t="s">
        <v>331</v>
      </c>
    </row>
    <row r="443" spans="1:12">
      <c r="A443">
        <v>216</v>
      </c>
      <c r="B443" t="s">
        <v>538</v>
      </c>
      <c r="C443" t="s">
        <v>740</v>
      </c>
      <c r="D443" s="130" t="s">
        <v>401</v>
      </c>
      <c r="E443" s="275">
        <v>450</v>
      </c>
      <c r="F443">
        <v>17</v>
      </c>
      <c r="G443">
        <v>620</v>
      </c>
      <c r="H443">
        <v>15</v>
      </c>
      <c r="I443">
        <f t="shared" si="20"/>
        <v>7.5</v>
      </c>
      <c r="J443" s="96">
        <f t="shared" si="21"/>
        <v>197.35212943395021</v>
      </c>
      <c r="L443" t="s">
        <v>331</v>
      </c>
    </row>
    <row r="444" spans="1:12">
      <c r="A444">
        <v>290</v>
      </c>
      <c r="B444" t="s">
        <v>755</v>
      </c>
      <c r="C444" t="s">
        <v>740</v>
      </c>
      <c r="D444" s="130" t="s">
        <v>401</v>
      </c>
      <c r="E444" s="275">
        <v>450</v>
      </c>
      <c r="F444">
        <v>15</v>
      </c>
      <c r="G444">
        <v>670</v>
      </c>
      <c r="H444">
        <v>15</v>
      </c>
      <c r="I444">
        <f t="shared" si="20"/>
        <v>7.5</v>
      </c>
      <c r="J444" s="96">
        <f t="shared" si="21"/>
        <v>213.26762374313975</v>
      </c>
      <c r="K444" t="s">
        <v>659</v>
      </c>
      <c r="L444" t="s">
        <v>331</v>
      </c>
    </row>
    <row r="445" spans="1:12">
      <c r="A445">
        <v>56</v>
      </c>
      <c r="B445" t="s">
        <v>756</v>
      </c>
      <c r="C445" t="s">
        <v>740</v>
      </c>
      <c r="D445" s="130" t="s">
        <v>546</v>
      </c>
      <c r="E445" s="275">
        <v>475</v>
      </c>
      <c r="F445">
        <v>12</v>
      </c>
      <c r="G445">
        <v>560</v>
      </c>
      <c r="H445">
        <v>10</v>
      </c>
      <c r="I445">
        <f>H445/2</f>
        <v>5</v>
      </c>
      <c r="J445" s="96">
        <f t="shared" si="21"/>
        <v>178.25353626292278</v>
      </c>
      <c r="K445" t="s">
        <v>757</v>
      </c>
      <c r="L445" t="s">
        <v>331</v>
      </c>
    </row>
    <row r="446" spans="1:12">
      <c r="A446">
        <v>108</v>
      </c>
      <c r="B446" t="s">
        <v>535</v>
      </c>
      <c r="C446" t="s">
        <v>740</v>
      </c>
      <c r="D446" s="130" t="s">
        <v>410</v>
      </c>
      <c r="E446" s="275">
        <v>500</v>
      </c>
      <c r="F446">
        <v>21</v>
      </c>
      <c r="G446">
        <v>745</v>
      </c>
      <c r="H446">
        <v>21</v>
      </c>
      <c r="I446">
        <f>H446/2</f>
        <v>10.5</v>
      </c>
      <c r="J446" s="96">
        <f t="shared" si="21"/>
        <v>237.14086520692405</v>
      </c>
      <c r="L446" t="s">
        <v>331</v>
      </c>
    </row>
    <row r="447" spans="1:12">
      <c r="A447">
        <v>59</v>
      </c>
      <c r="B447" t="s">
        <v>758</v>
      </c>
      <c r="C447" t="s">
        <v>740</v>
      </c>
      <c r="D447" s="130" t="s">
        <v>413</v>
      </c>
      <c r="E447">
        <v>550</v>
      </c>
      <c r="F447">
        <v>30</v>
      </c>
      <c r="G447">
        <v>730</v>
      </c>
      <c r="H447">
        <v>20</v>
      </c>
      <c r="I447">
        <f>H447/2</f>
        <v>10</v>
      </c>
      <c r="J447" s="96">
        <f t="shared" si="21"/>
        <v>232.36621691416721</v>
      </c>
      <c r="L447" t="s">
        <v>331</v>
      </c>
    </row>
    <row r="448" spans="1:12">
      <c r="A448">
        <v>88</v>
      </c>
      <c r="B448" t="s">
        <v>759</v>
      </c>
      <c r="C448" t="s">
        <v>740</v>
      </c>
      <c r="D448" s="130" t="s">
        <v>413</v>
      </c>
      <c r="E448">
        <v>550</v>
      </c>
      <c r="F448">
        <v>21</v>
      </c>
      <c r="G448">
        <v>900</v>
      </c>
      <c r="H448">
        <v>20</v>
      </c>
      <c r="I448">
        <f>H448/2</f>
        <v>10</v>
      </c>
      <c r="J448" s="96">
        <f t="shared" si="21"/>
        <v>286.47889756541161</v>
      </c>
      <c r="L448" t="s">
        <v>331</v>
      </c>
    </row>
    <row r="449" spans="1:12">
      <c r="A449">
        <v>265</v>
      </c>
      <c r="B449" t="s">
        <v>760</v>
      </c>
      <c r="C449" t="s">
        <v>740</v>
      </c>
      <c r="D449" s="130" t="s">
        <v>413</v>
      </c>
      <c r="E449">
        <v>550</v>
      </c>
      <c r="F449">
        <v>22</v>
      </c>
      <c r="G449">
        <v>710</v>
      </c>
      <c r="H449">
        <v>22</v>
      </c>
      <c r="I449">
        <f>H449/2</f>
        <v>11</v>
      </c>
      <c r="J449" s="96">
        <f t="shared" si="21"/>
        <v>226.00001919049137</v>
      </c>
      <c r="L449" t="s">
        <v>331</v>
      </c>
    </row>
    <row r="453" spans="1:12">
      <c r="A453" s="173" t="s">
        <v>142</v>
      </c>
    </row>
    <row r="454" spans="1:12">
      <c r="A454" t="s">
        <v>761</v>
      </c>
    </row>
    <row r="455" spans="1:12">
      <c r="A455" t="s">
        <v>762</v>
      </c>
    </row>
    <row r="456" spans="1:12">
      <c r="A456" t="s">
        <v>763</v>
      </c>
    </row>
    <row r="457" spans="1:12">
      <c r="A457" t="s">
        <v>764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53"/>
  <sheetViews>
    <sheetView topLeftCell="A14" workbookViewId="0">
      <selection activeCell="F327" sqref="F327"/>
    </sheetView>
  </sheetViews>
  <sheetFormatPr baseColWidth="10" defaultRowHeight="12.75"/>
  <sheetData>
    <row r="3" spans="1:7">
      <c r="B3" t="s">
        <v>765</v>
      </c>
      <c r="C3" t="s">
        <v>766</v>
      </c>
      <c r="D3" t="s">
        <v>767</v>
      </c>
      <c r="F3" t="s">
        <v>768</v>
      </c>
    </row>
    <row r="4" spans="1:7">
      <c r="A4" t="s">
        <v>1166</v>
      </c>
      <c r="B4">
        <v>-0.38325999999999999</v>
      </c>
      <c r="C4">
        <v>0.65990000000000004</v>
      </c>
      <c r="D4">
        <f>EXP($B$4+$C$4*LN(F4))</f>
        <v>0.68163565097545509</v>
      </c>
      <c r="F4">
        <v>1</v>
      </c>
    </row>
    <row r="5" spans="1:7">
      <c r="A5" t="s">
        <v>769</v>
      </c>
      <c r="B5">
        <v>0.17002</v>
      </c>
      <c r="C5">
        <v>0.51992000000000005</v>
      </c>
      <c r="D5">
        <f>EXP($B$5+$C$5*LN(F5))</f>
        <v>1.1853285576544546</v>
      </c>
      <c r="F5">
        <v>1</v>
      </c>
    </row>
    <row r="6" spans="1:7">
      <c r="A6" t="s">
        <v>1161</v>
      </c>
      <c r="B6">
        <v>-0.21365999999999999</v>
      </c>
      <c r="C6">
        <v>0.65295000000000003</v>
      </c>
      <c r="D6">
        <f>EXP($B$6+$C$6*LN(F6))</f>
        <v>0.80762293014361497</v>
      </c>
      <c r="F6">
        <v>1</v>
      </c>
    </row>
    <row r="7" spans="1:7">
      <c r="A7" t="s">
        <v>871</v>
      </c>
      <c r="B7">
        <v>-0.37705</v>
      </c>
      <c r="C7">
        <v>0.67586999999999997</v>
      </c>
      <c r="D7">
        <f>EXP($B$7+$C$7*LN(F7))</f>
        <v>0.68588177894970614</v>
      </c>
      <c r="F7">
        <v>1</v>
      </c>
    </row>
    <row r="8" spans="1:7">
      <c r="A8" t="s">
        <v>883</v>
      </c>
      <c r="B8">
        <v>0.89388999999999996</v>
      </c>
      <c r="C8">
        <v>0.45361000000000001</v>
      </c>
      <c r="D8">
        <f>EXP($B$8+$C$8*LN(F8))</f>
        <v>2.4446207538595335</v>
      </c>
      <c r="F8">
        <v>1</v>
      </c>
    </row>
    <row r="9" spans="1:7">
      <c r="A9" t="s">
        <v>372</v>
      </c>
      <c r="B9">
        <v>-0.39733000000000002</v>
      </c>
      <c r="C9">
        <v>0.73282000000000003</v>
      </c>
      <c r="D9">
        <f>EXP($B$9+$C$9*LN(F9))</f>
        <v>0.6721121920087596</v>
      </c>
      <c r="F9">
        <v>1</v>
      </c>
    </row>
    <row r="12" spans="1:7">
      <c r="A12" t="s">
        <v>768</v>
      </c>
      <c r="B12" t="s">
        <v>263</v>
      </c>
    </row>
    <row r="13" spans="1:7">
      <c r="B13" t="s">
        <v>1166</v>
      </c>
      <c r="C13" t="s">
        <v>769</v>
      </c>
      <c r="D13" t="s">
        <v>1161</v>
      </c>
      <c r="E13" t="s">
        <v>871</v>
      </c>
      <c r="F13" t="s">
        <v>883</v>
      </c>
      <c r="G13" t="s">
        <v>372</v>
      </c>
    </row>
    <row r="14" spans="1:7">
      <c r="A14">
        <v>1</v>
      </c>
      <c r="B14">
        <f t="shared" ref="B14:B77" si="0">EXP($B$4+$C$4*LN(A14))</f>
        <v>0.68163565097545509</v>
      </c>
      <c r="C14">
        <f t="shared" ref="C14:C77" si="1">EXP($B$5+$C$5*LN(A14))</f>
        <v>1.1853285576544546</v>
      </c>
      <c r="D14">
        <f t="shared" ref="D14:D77" si="2">EXP($B$6+$C$6*LN(A14))</f>
        <v>0.80762293014361497</v>
      </c>
      <c r="E14">
        <f t="shared" ref="E14:E77" si="3">EXP($B$7+$C$7*LN(A14))</f>
        <v>0.68588177894970614</v>
      </c>
      <c r="F14">
        <f t="shared" ref="F14:F77" si="4">EXP($B$8+$C$8*LN(A14))</f>
        <v>2.4446207538595335</v>
      </c>
      <c r="G14">
        <f t="shared" ref="G14:G77" si="5">EXP($B$9+$C$9*LN(A14))</f>
        <v>0.6721121920087596</v>
      </c>
    </row>
    <row r="15" spans="1:7">
      <c r="A15">
        <v>2</v>
      </c>
      <c r="B15">
        <f t="shared" si="0"/>
        <v>1.0769659956374302</v>
      </c>
      <c r="C15">
        <f t="shared" si="1"/>
        <v>1.6996138566542949</v>
      </c>
      <c r="D15">
        <f t="shared" si="2"/>
        <v>1.2698902146121505</v>
      </c>
      <c r="E15">
        <f t="shared" si="3"/>
        <v>1.0957372067641935</v>
      </c>
      <c r="F15">
        <f t="shared" si="4"/>
        <v>3.3478170031424641</v>
      </c>
      <c r="G15">
        <f t="shared" si="5"/>
        <v>1.1169727419256619</v>
      </c>
    </row>
    <row r="16" spans="1:7">
      <c r="A16">
        <v>3</v>
      </c>
      <c r="B16">
        <f t="shared" si="0"/>
        <v>1.4073580864812947</v>
      </c>
      <c r="C16">
        <f t="shared" si="1"/>
        <v>2.0984741830117222</v>
      </c>
      <c r="D16">
        <f t="shared" si="2"/>
        <v>1.6547979121082574</v>
      </c>
      <c r="E16">
        <f t="shared" si="3"/>
        <v>1.4411898938370669</v>
      </c>
      <c r="F16">
        <f t="shared" si="4"/>
        <v>4.0238192760187967</v>
      </c>
      <c r="G16">
        <f t="shared" si="5"/>
        <v>1.5034388598149238</v>
      </c>
    </row>
    <row r="17" spans="1:7">
      <c r="A17">
        <v>4</v>
      </c>
      <c r="B17">
        <f t="shared" si="0"/>
        <v>1.7015773076122249</v>
      </c>
      <c r="C17">
        <f t="shared" si="1"/>
        <v>2.4370350676840711</v>
      </c>
      <c r="D17">
        <f t="shared" si="2"/>
        <v>1.9967500884118417</v>
      </c>
      <c r="E17">
        <f t="shared" si="3"/>
        <v>1.750505791429454</v>
      </c>
      <c r="F17">
        <f t="shared" si="4"/>
        <v>4.584710601362171</v>
      </c>
      <c r="G17">
        <f t="shared" si="5"/>
        <v>1.8562795334453195</v>
      </c>
    </row>
    <row r="18" spans="1:7">
      <c r="A18">
        <v>5</v>
      </c>
      <c r="B18">
        <f t="shared" si="0"/>
        <v>1.9715264263202739</v>
      </c>
      <c r="C18">
        <f t="shared" si="1"/>
        <v>2.7368262864100865</v>
      </c>
      <c r="D18">
        <f t="shared" si="2"/>
        <v>2.3099421592253901</v>
      </c>
      <c r="E18">
        <f t="shared" si="3"/>
        <v>2.0354578918759421</v>
      </c>
      <c r="F18">
        <f t="shared" si="4"/>
        <v>5.0730749433468105</v>
      </c>
      <c r="G18">
        <f t="shared" si="5"/>
        <v>2.1860544347787885</v>
      </c>
    </row>
    <row r="19" spans="1:7">
      <c r="A19">
        <v>6</v>
      </c>
      <c r="B19">
        <f t="shared" si="0"/>
        <v>2.2235879250985566</v>
      </c>
      <c r="C19">
        <f t="shared" si="1"/>
        <v>3.0089512112453063</v>
      </c>
      <c r="D19">
        <f t="shared" si="2"/>
        <v>2.6019712879786758</v>
      </c>
      <c r="E19">
        <f t="shared" si="3"/>
        <v>2.3023871418599211</v>
      </c>
      <c r="F19">
        <f t="shared" si="4"/>
        <v>5.5104705171795159</v>
      </c>
      <c r="G19">
        <f t="shared" si="5"/>
        <v>2.498541531505472</v>
      </c>
    </row>
    <row r="20" spans="1:7">
      <c r="A20">
        <v>7</v>
      </c>
      <c r="B20">
        <f t="shared" si="0"/>
        <v>2.4616850801163426</v>
      </c>
      <c r="C20">
        <f t="shared" si="1"/>
        <v>3.2600339345540226</v>
      </c>
      <c r="D20">
        <f t="shared" si="2"/>
        <v>2.8775004897843992</v>
      </c>
      <c r="E20">
        <f t="shared" si="3"/>
        <v>2.5552045839394002</v>
      </c>
      <c r="F20">
        <f t="shared" si="4"/>
        <v>5.9095772804717654</v>
      </c>
      <c r="G20">
        <f t="shared" si="5"/>
        <v>2.797348139671358</v>
      </c>
    </row>
    <row r="21" spans="1:7">
      <c r="A21">
        <v>8</v>
      </c>
      <c r="B21">
        <f t="shared" si="0"/>
        <v>2.6884463813243911</v>
      </c>
      <c r="C21">
        <f t="shared" si="1"/>
        <v>3.4944054485488572</v>
      </c>
      <c r="D21">
        <f t="shared" si="2"/>
        <v>3.1396500813185719</v>
      </c>
      <c r="E21">
        <f t="shared" si="3"/>
        <v>2.7965378075251399</v>
      </c>
      <c r="F21">
        <f t="shared" si="4"/>
        <v>6.2785902809240888</v>
      </c>
      <c r="G21">
        <f t="shared" si="5"/>
        <v>3.0849219295606578</v>
      </c>
    </row>
    <row r="22" spans="1:7">
      <c r="A22">
        <v>9</v>
      </c>
      <c r="B22">
        <f t="shared" si="0"/>
        <v>2.9057411840913421</v>
      </c>
      <c r="C22">
        <f t="shared" si="1"/>
        <v>3.7150829348789252</v>
      </c>
      <c r="D22">
        <f t="shared" si="2"/>
        <v>3.3906369268526118</v>
      </c>
      <c r="E22">
        <f t="shared" si="3"/>
        <v>3.0282599331894473</v>
      </c>
      <c r="F22">
        <f t="shared" si="4"/>
        <v>6.6231629345771168</v>
      </c>
      <c r="G22">
        <f t="shared" si="5"/>
        <v>3.3630224716592245</v>
      </c>
    </row>
    <row r="23" spans="1:7">
      <c r="A23">
        <v>10</v>
      </c>
      <c r="B23">
        <f t="shared" si="0"/>
        <v>3.114958728477621</v>
      </c>
      <c r="C23">
        <f t="shared" si="1"/>
        <v>3.9242688026034327</v>
      </c>
      <c r="D23">
        <f t="shared" si="2"/>
        <v>3.632107057434292</v>
      </c>
      <c r="E23">
        <f t="shared" si="3"/>
        <v>3.2517658485484038</v>
      </c>
      <c r="F23">
        <f t="shared" si="4"/>
        <v>6.947387044284385</v>
      </c>
      <c r="G23">
        <f t="shared" si="5"/>
        <v>3.6329696813203967</v>
      </c>
    </row>
    <row r="24" spans="1:7">
      <c r="A24">
        <v>11</v>
      </c>
      <c r="B24">
        <f t="shared" si="0"/>
        <v>3.3171669506513624</v>
      </c>
      <c r="C24">
        <f t="shared" si="1"/>
        <v>4.1236294508284788</v>
      </c>
      <c r="D24">
        <f t="shared" si="2"/>
        <v>3.8653248140800129</v>
      </c>
      <c r="E24">
        <f t="shared" si="3"/>
        <v>3.4681297718942927</v>
      </c>
      <c r="F24">
        <f t="shared" si="4"/>
        <v>7.254335387980257</v>
      </c>
      <c r="G24">
        <f t="shared" si="5"/>
        <v>3.8957866142557771</v>
      </c>
    </row>
    <row r="25" spans="1:7">
      <c r="A25">
        <v>12</v>
      </c>
      <c r="B25">
        <f t="shared" si="0"/>
        <v>3.5132091172375701</v>
      </c>
      <c r="C25">
        <f t="shared" si="1"/>
        <v>4.3144621291745597</v>
      </c>
      <c r="D25">
        <f t="shared" si="2"/>
        <v>4.0912878448341283</v>
      </c>
      <c r="E25">
        <f t="shared" si="3"/>
        <v>3.6782013068995321</v>
      </c>
      <c r="F25">
        <f t="shared" si="4"/>
        <v>7.5463839794386569</v>
      </c>
      <c r="G25">
        <f t="shared" si="5"/>
        <v>4.1522871009375129</v>
      </c>
    </row>
    <row r="26" spans="1:7">
      <c r="A26">
        <v>13</v>
      </c>
      <c r="B26">
        <f t="shared" si="0"/>
        <v>3.7037657820206387</v>
      </c>
      <c r="C26">
        <f t="shared" si="1"/>
        <v>4.4978003669717141</v>
      </c>
      <c r="D26">
        <f t="shared" si="2"/>
        <v>4.3108007811772566</v>
      </c>
      <c r="E26">
        <f t="shared" si="3"/>
        <v>3.8826671304174805</v>
      </c>
      <c r="F26">
        <f t="shared" si="4"/>
        <v>7.8254142790794052</v>
      </c>
      <c r="G26">
        <f t="shared" si="5"/>
        <v>4.4031323621634924</v>
      </c>
    </row>
    <row r="27" spans="1:7">
      <c r="A27">
        <v>14</v>
      </c>
      <c r="B27">
        <f t="shared" si="0"/>
        <v>3.8893962184333701</v>
      </c>
      <c r="C27">
        <f t="shared" si="1"/>
        <v>4.6744835535688516</v>
      </c>
      <c r="D27">
        <f t="shared" si="2"/>
        <v>4.5245244756350456</v>
      </c>
      <c r="E27">
        <f t="shared" si="3"/>
        <v>4.0820923072256248</v>
      </c>
      <c r="F27">
        <f t="shared" si="4"/>
        <v>8.0929458157109959</v>
      </c>
      <c r="G27">
        <f t="shared" si="5"/>
        <v>4.648869130540402</v>
      </c>
    </row>
    <row r="28" spans="1:7">
      <c r="A28">
        <v>15</v>
      </c>
      <c r="B28">
        <f t="shared" si="0"/>
        <v>4.0705671054950709</v>
      </c>
      <c r="C28">
        <f t="shared" si="1"/>
        <v>4.8452045370306935</v>
      </c>
      <c r="D28">
        <f t="shared" si="2"/>
        <v>4.733010071293152</v>
      </c>
      <c r="E28">
        <f t="shared" si="3"/>
        <v>4.276948933669825</v>
      </c>
      <c r="F28">
        <f t="shared" si="4"/>
        <v>8.3502263954434977</v>
      </c>
      <c r="G28">
        <f t="shared" si="5"/>
        <v>4.8899562096834357</v>
      </c>
    </row>
    <row r="29" spans="1:7">
      <c r="A29">
        <v>16</v>
      </c>
      <c r="B29">
        <f t="shared" si="0"/>
        <v>4.2476729754927796</v>
      </c>
      <c r="C29">
        <f t="shared" si="1"/>
        <v>5.0105431804278489</v>
      </c>
      <c r="D29">
        <f t="shared" si="2"/>
        <v>4.9367232736491395</v>
      </c>
      <c r="E29">
        <f t="shared" si="3"/>
        <v>4.467636580928553</v>
      </c>
      <c r="F29">
        <f t="shared" si="4"/>
        <v>8.5982953654701966</v>
      </c>
      <c r="G29">
        <f t="shared" si="5"/>
        <v>5.1267835150996106</v>
      </c>
    </row>
    <row r="30" spans="1:7">
      <c r="A30">
        <v>17</v>
      </c>
      <c r="B30">
        <f t="shared" si="0"/>
        <v>4.4210511552386267</v>
      </c>
      <c r="C30">
        <f t="shared" si="1"/>
        <v>5.1709906323677268</v>
      </c>
      <c r="D30">
        <f t="shared" si="2"/>
        <v>5.1360620772238663</v>
      </c>
      <c r="E30">
        <f t="shared" si="3"/>
        <v>4.6544972504613726</v>
      </c>
      <c r="F30">
        <f t="shared" si="4"/>
        <v>8.8380291503244184</v>
      </c>
      <c r="G30">
        <f t="shared" si="5"/>
        <v>5.3596860617120452</v>
      </c>
    </row>
    <row r="31" spans="1:7">
      <c r="A31">
        <v>18</v>
      </c>
      <c r="B31">
        <f t="shared" si="0"/>
        <v>4.5909929196210761</v>
      </c>
      <c r="C31">
        <f t="shared" si="1"/>
        <v>5.3269672733058666</v>
      </c>
      <c r="D31">
        <f t="shared" si="2"/>
        <v>5.331369992116346</v>
      </c>
      <c r="E31">
        <f t="shared" si="3"/>
        <v>4.8378265502694449</v>
      </c>
      <c r="F31">
        <f t="shared" si="4"/>
        <v>9.0701747712619873</v>
      </c>
      <c r="G31">
        <f t="shared" si="5"/>
        <v>5.5889544572907592</v>
      </c>
    </row>
    <row r="32" spans="1:7">
      <c r="A32">
        <v>19</v>
      </c>
      <c r="B32">
        <f t="shared" si="0"/>
        <v>4.7577519741666094</v>
      </c>
      <c r="C32">
        <f t="shared" si="1"/>
        <v>5.4788362433115569</v>
      </c>
      <c r="D32">
        <f t="shared" si="2"/>
        <v>5.5229460986973837</v>
      </c>
      <c r="E32">
        <f t="shared" si="3"/>
        <v>5.017882203355895</v>
      </c>
      <c r="F32">
        <f t="shared" si="4"/>
        <v>9.2953750065902003</v>
      </c>
      <c r="G32">
        <f t="shared" si="5"/>
        <v>5.8148429200270755</v>
      </c>
    </row>
    <row r="33" spans="1:7">
      <c r="A33">
        <v>20</v>
      </c>
      <c r="B33">
        <f t="shared" si="0"/>
        <v>4.9215510127494824</v>
      </c>
      <c r="C33">
        <f t="shared" si="1"/>
        <v>5.6269138131111367</v>
      </c>
      <c r="D33">
        <f t="shared" si="2"/>
        <v>5.7110528174817237</v>
      </c>
      <c r="E33">
        <f t="shared" si="3"/>
        <v>5.1948906317292538</v>
      </c>
      <c r="F33">
        <f t="shared" si="4"/>
        <v>9.5141876045789893</v>
      </c>
      <c r="G33">
        <f t="shared" si="5"/>
        <v>6.0375755037997498</v>
      </c>
    </row>
    <row r="34" spans="1:7">
      <c r="A34">
        <v>21</v>
      </c>
      <c r="B34">
        <f t="shared" si="0"/>
        <v>5.0825868613448453</v>
      </c>
      <c r="C34">
        <f t="shared" si="1"/>
        <v>5.7714774551125343</v>
      </c>
      <c r="D34">
        <f t="shared" si="2"/>
        <v>5.895922001297027</v>
      </c>
      <c r="E34">
        <f t="shared" si="3"/>
        <v>5.3690521254241403</v>
      </c>
      <c r="F34">
        <f t="shared" si="4"/>
        <v>9.7271001797489269</v>
      </c>
      <c r="G34">
        <f t="shared" si="5"/>
        <v>6.257351001241906</v>
      </c>
    </row>
    <row r="35" spans="1:7">
      <c r="A35">
        <v>22</v>
      </c>
      <c r="B35">
        <f t="shared" si="0"/>
        <v>5.2410345653010202</v>
      </c>
      <c r="C35">
        <f t="shared" si="1"/>
        <v>5.9127722090864818</v>
      </c>
      <c r="D35">
        <f t="shared" si="2"/>
        <v>6.0777597743849103</v>
      </c>
      <c r="E35">
        <f t="shared" si="3"/>
        <v>5.5405449533451554</v>
      </c>
      <c r="F35">
        <f t="shared" si="4"/>
        <v>9.9345419202695098</v>
      </c>
      <c r="G35">
        <f t="shared" si="5"/>
        <v>6.4743468549159333</v>
      </c>
    </row>
    <row r="36" spans="1:7">
      <c r="A36">
        <v>23</v>
      </c>
      <c r="B36">
        <f t="shared" si="0"/>
        <v>5.3970506751272973</v>
      </c>
      <c r="C36">
        <f t="shared" si="1"/>
        <v>6.0510157635151183</v>
      </c>
      <c r="D36">
        <f t="shared" si="2"/>
        <v>6.2567504212235949</v>
      </c>
      <c r="E36">
        <f t="shared" si="3"/>
        <v>5.7095286706714816</v>
      </c>
      <c r="F36">
        <f t="shared" si="4"/>
        <v>10.136892902018912</v>
      </c>
      <c r="G36">
        <f t="shared" si="5"/>
        <v>6.6887223131393325</v>
      </c>
    </row>
    <row r="37" spans="1:7">
      <c r="A37">
        <v>24</v>
      </c>
      <c r="B37">
        <f t="shared" si="0"/>
        <v>5.5507759158631513</v>
      </c>
      <c r="C37">
        <f t="shared" si="1"/>
        <v>6.1864025559847837</v>
      </c>
      <c r="D37">
        <f t="shared" si="2"/>
        <v>6.4330595447464693</v>
      </c>
      <c r="E37">
        <f t="shared" si="3"/>
        <v>5.8761468078510291</v>
      </c>
      <c r="F37">
        <f t="shared" si="4"/>
        <v>10.334491580634872</v>
      </c>
      <c r="G37">
        <f t="shared" si="5"/>
        <v>6.9006210027749129</v>
      </c>
    </row>
    <row r="38" spans="1:7">
      <c r="A38">
        <v>25</v>
      </c>
      <c r="B38">
        <f t="shared" si="0"/>
        <v>5.7023373764515046</v>
      </c>
      <c r="C38">
        <f t="shared" si="1"/>
        <v>6.3191071147454494</v>
      </c>
      <c r="D38">
        <f t="shared" si="2"/>
        <v>6.6068366558364273</v>
      </c>
      <c r="E38">
        <f t="shared" si="3"/>
        <v>6.040529077685056</v>
      </c>
      <c r="F38">
        <f t="shared" si="4"/>
        <v>10.527640878521328</v>
      </c>
      <c r="G38">
        <f t="shared" si="5"/>
        <v>7.1101730464572892</v>
      </c>
    </row>
    <row r="39" spans="1:7">
      <c r="A39">
        <v>26</v>
      </c>
      <c r="B39">
        <f t="shared" si="0"/>
        <v>5.8518503211114101</v>
      </c>
      <c r="C39">
        <f t="shared" si="1"/>
        <v>6.4492868064336468</v>
      </c>
      <c r="D39">
        <f t="shared" si="2"/>
        <v>6.7782173150853442</v>
      </c>
      <c r="E39">
        <f t="shared" si="3"/>
        <v>6.2027932026326056</v>
      </c>
      <c r="F39">
        <f t="shared" si="4"/>
        <v>10.716613175591648</v>
      </c>
      <c r="G39">
        <f t="shared" si="5"/>
        <v>7.3174968198810397</v>
      </c>
    </row>
    <row r="40" spans="1:7">
      <c r="A40">
        <v>27</v>
      </c>
      <c r="B40">
        <f t="shared" si="0"/>
        <v>5.9994196999533669</v>
      </c>
      <c r="C40">
        <f t="shared" si="1"/>
        <v>6.5770841141444301</v>
      </c>
      <c r="D40">
        <f t="shared" si="2"/>
        <v>6.9473249184184525</v>
      </c>
      <c r="E40">
        <f t="shared" si="3"/>
        <v>6.3630464397339876</v>
      </c>
      <c r="F40">
        <f t="shared" si="4"/>
        <v>10.901654435474015</v>
      </c>
      <c r="G40">
        <f t="shared" si="5"/>
        <v>7.5227004218031093</v>
      </c>
    </row>
    <row r="41" spans="1:7">
      <c r="A41">
        <v>28</v>
      </c>
      <c r="B41">
        <f t="shared" si="0"/>
        <v>6.1451414180277117</v>
      </c>
      <c r="C41">
        <f t="shared" si="1"/>
        <v>6.7026285404525741</v>
      </c>
      <c r="D41">
        <f t="shared" si="2"/>
        <v>7.1142721967544924</v>
      </c>
      <c r="E41">
        <f t="shared" si="3"/>
        <v>6.5213868625033031</v>
      </c>
      <c r="F41">
        <f t="shared" si="4"/>
        <v>11.082987643205092</v>
      </c>
      <c r="G41">
        <f t="shared" si="5"/>
        <v>7.7258829126039776</v>
      </c>
    </row>
    <row r="42" spans="1:7">
      <c r="A42">
        <v>29</v>
      </c>
      <c r="B42">
        <f t="shared" si="0"/>
        <v>6.2891034086553015</v>
      </c>
      <c r="C42">
        <f t="shared" si="1"/>
        <v>6.8260382082463851</v>
      </c>
      <c r="D42">
        <f t="shared" si="2"/>
        <v>7.2791624840412563</v>
      </c>
      <c r="E42">
        <f t="shared" si="3"/>
        <v>6.6779044457926444</v>
      </c>
      <c r="F42">
        <f t="shared" si="4"/>
        <v>11.260815689627668</v>
      </c>
      <c r="G42">
        <f t="shared" si="5"/>
        <v>7.9271353647929894</v>
      </c>
    </row>
    <row r="43" spans="1:7">
      <c r="A43">
        <v>30</v>
      </c>
      <c r="B43">
        <f t="shared" si="0"/>
        <v>6.4313865469110123</v>
      </c>
      <c r="C43">
        <f t="shared" si="1"/>
        <v>6.9474212160695066</v>
      </c>
      <c r="D43">
        <f t="shared" si="2"/>
        <v>7.4420907961678795</v>
      </c>
      <c r="E43">
        <f t="shared" si="3"/>
        <v>6.8326819896408324</v>
      </c>
      <c r="F43">
        <f t="shared" si="4"/>
        <v>11.435323807433006</v>
      </c>
      <c r="G43">
        <f t="shared" si="5"/>
        <v>8.1265417594974032</v>
      </c>
    </row>
    <row r="44" spans="1:7">
      <c r="A44">
        <v>31</v>
      </c>
      <c r="B44">
        <f t="shared" si="0"/>
        <v>6.5720654315831029</v>
      </c>
      <c r="C44">
        <f t="shared" si="1"/>
        <v>7.0668767925027893</v>
      </c>
      <c r="D44">
        <f t="shared" si="2"/>
        <v>7.6031447543040507</v>
      </c>
      <c r="E44">
        <f t="shared" si="3"/>
        <v>6.9857959105591974</v>
      </c>
      <c r="F44">
        <f t="shared" si="4"/>
        <v>11.606681641070415</v>
      </c>
      <c r="G44">
        <f t="shared" si="5"/>
        <v>8.3241797558858615</v>
      </c>
    </row>
    <row r="45" spans="1:7">
      <c r="A45">
        <v>32</v>
      </c>
      <c r="B45">
        <f t="shared" si="0"/>
        <v>6.7112090581637043</v>
      </c>
      <c r="C45">
        <f t="shared" si="1"/>
        <v>7.1844962848709359</v>
      </c>
      <c r="D45">
        <f t="shared" si="2"/>
        <v>7.7624053793771131</v>
      </c>
      <c r="E45">
        <f t="shared" si="3"/>
        <v>7.1373169229257911</v>
      </c>
      <c r="F45">
        <f t="shared" si="4"/>
        <v>11.775045015516612</v>
      </c>
      <c r="G45">
        <f t="shared" si="5"/>
        <v>8.5201213550452284</v>
      </c>
    </row>
    <row r="46" spans="1:7">
      <c r="A46">
        <v>33</v>
      </c>
      <c r="B46">
        <f t="shared" si="0"/>
        <v>6.8488814009756034</v>
      </c>
      <c r="C46">
        <f t="shared" si="1"/>
        <v>7.3003640104594316</v>
      </c>
      <c r="D46">
        <f t="shared" si="2"/>
        <v>7.9199477791231372</v>
      </c>
      <c r="E46">
        <f t="shared" si="3"/>
        <v>7.2873106286965701</v>
      </c>
      <c r="F46">
        <f t="shared" si="4"/>
        <v>11.940557455701573</v>
      </c>
      <c r="G46">
        <f t="shared" si="5"/>
        <v>8.7144334756281463</v>
      </c>
    </row>
    <row r="47" spans="1:7">
      <c r="A47">
        <v>34</v>
      </c>
      <c r="B47">
        <f t="shared" si="0"/>
        <v>6.985141919076395</v>
      </c>
      <c r="C47">
        <f t="shared" si="1"/>
        <v>7.4145579929272305</v>
      </c>
      <c r="D47">
        <f t="shared" si="2"/>
        <v>8.0758417450422453</v>
      </c>
      <c r="E47">
        <f t="shared" si="3"/>
        <v>7.4358380301660407</v>
      </c>
      <c r="F47">
        <f t="shared" si="4"/>
        <v>12.103351498187003</v>
      </c>
      <c r="G47">
        <f t="shared" si="5"/>
        <v>8.9071784553094826</v>
      </c>
    </row>
    <row r="48" spans="1:7">
      <c r="A48">
        <v>35</v>
      </c>
      <c r="B48">
        <f t="shared" si="0"/>
        <v>7.1200459978617969</v>
      </c>
      <c r="C48">
        <f t="shared" si="1"/>
        <v>7.5271506023035677</v>
      </c>
      <c r="D48">
        <f t="shared" si="2"/>
        <v>8.2301522733668779</v>
      </c>
      <c r="E48">
        <f t="shared" si="3"/>
        <v>7.5829559777799709</v>
      </c>
      <c r="F48">
        <f t="shared" si="4"/>
        <v>12.263549828741869</v>
      </c>
      <c r="G48">
        <f t="shared" si="5"/>
        <v>9.0984144895099099</v>
      </c>
    </row>
    <row r="49" spans="1:7">
      <c r="A49">
        <v>36</v>
      </c>
      <c r="B49">
        <f t="shared" si="0"/>
        <v>7.2536453361388871</v>
      </c>
      <c r="C49">
        <f t="shared" si="1"/>
        <v>7.6382091135730015</v>
      </c>
      <c r="D49">
        <f t="shared" si="2"/>
        <v>8.3829400216032646</v>
      </c>
      <c r="E49">
        <f t="shared" si="3"/>
        <v>7.7287175628419815</v>
      </c>
      <c r="F49">
        <f t="shared" si="4"/>
        <v>12.421266273210023</v>
      </c>
      <c r="G49">
        <f t="shared" si="5"/>
        <v>9.2881960167988549</v>
      </c>
    </row>
    <row r="50" spans="1:7">
      <c r="A50">
        <v>37</v>
      </c>
      <c r="B50">
        <f t="shared" si="0"/>
        <v>7.3859882867258477</v>
      </c>
      <c r="C50">
        <f t="shared" si="1"/>
        <v>7.7477961961678625</v>
      </c>
      <c r="D50">
        <f t="shared" si="2"/>
        <v>8.5342617101763842</v>
      </c>
      <c r="E50">
        <f t="shared" si="3"/>
        <v>7.8731724632332067</v>
      </c>
      <c r="F50">
        <f t="shared" si="4"/>
        <v>12.576606664117163</v>
      </c>
      <c r="G50">
        <f t="shared" si="5"/>
        <v>9.4765740587551957</v>
      </c>
    </row>
    <row r="51" spans="1:7">
      <c r="A51">
        <v>38</v>
      </c>
      <c r="B51">
        <f t="shared" si="0"/>
        <v>7.5171201572594972</v>
      </c>
      <c r="C51">
        <f t="shared" si="1"/>
        <v>7.8559703445419569</v>
      </c>
      <c r="D51">
        <f t="shared" si="2"/>
        <v>8.6841704770801691</v>
      </c>
      <c r="E51">
        <f t="shared" si="3"/>
        <v>8.0163672488814157</v>
      </c>
      <c r="F51">
        <f t="shared" si="4"/>
        <v>12.729669601518998</v>
      </c>
      <c r="G51">
        <f t="shared" si="5"/>
        <v>9.6635965207502359</v>
      </c>
    </row>
    <row r="52" spans="1:7">
      <c r="A52">
        <v>39</v>
      </c>
      <c r="B52">
        <f t="shared" si="0"/>
        <v>7.6470834767812921</v>
      </c>
      <c r="C52">
        <f t="shared" si="1"/>
        <v>7.9627862582741331</v>
      </c>
      <c r="D52">
        <f t="shared" si="2"/>
        <v>8.8327161921198254</v>
      </c>
      <c r="E52">
        <f t="shared" si="3"/>
        <v>8.1583456525987561</v>
      </c>
      <c r="F52">
        <f t="shared" si="4"/>
        <v>12.880547123425806</v>
      </c>
      <c r="G52">
        <f t="shared" si="5"/>
        <v>9.8493084590541038</v>
      </c>
    </row>
    <row r="53" spans="1:7">
      <c r="A53">
        <v>40</v>
      </c>
      <c r="B53">
        <f t="shared" si="0"/>
        <v>7.7759182327700893</v>
      </c>
      <c r="C53">
        <f t="shared" si="1"/>
        <v>8.0682951787542301</v>
      </c>
      <c r="D53">
        <f t="shared" si="2"/>
        <v>8.979945736265238</v>
      </c>
      <c r="E53">
        <f t="shared" si="3"/>
        <v>8.2991488109992275</v>
      </c>
      <c r="F53">
        <f t="shared" si="4"/>
        <v>13.029325298580444</v>
      </c>
      <c r="G53">
        <f t="shared" si="5"/>
        <v>10.033752318801151</v>
      </c>
    </row>
    <row r="54" spans="1:7">
      <c r="A54">
        <v>41</v>
      </c>
      <c r="B54">
        <f t="shared" si="0"/>
        <v>7.9036620825527324</v>
      </c>
      <c r="C54">
        <f t="shared" si="1"/>
        <v>8.172545188367387</v>
      </c>
      <c r="D54">
        <f t="shared" si="2"/>
        <v>9.1259032507617697</v>
      </c>
      <c r="E54">
        <f t="shared" si="3"/>
        <v>8.4388154794646102</v>
      </c>
      <c r="F54">
        <f t="shared" si="4"/>
        <v>13.176084752289025</v>
      </c>
      <c r="G54">
        <f t="shared" si="5"/>
        <v>10.216968146641209</v>
      </c>
    </row>
    <row r="55" spans="1:7">
      <c r="A55">
        <v>42</v>
      </c>
      <c r="B55">
        <f t="shared" si="0"/>
        <v>8.0303505424176773</v>
      </c>
      <c r="C55">
        <f t="shared" si="1"/>
        <v>8.2755814771626515</v>
      </c>
      <c r="D55">
        <f t="shared" si="2"/>
        <v>9.2706303599282176</v>
      </c>
      <c r="E55">
        <f t="shared" si="3"/>
        <v>8.5773822245174358</v>
      </c>
      <c r="F55">
        <f t="shared" si="4"/>
        <v>13.320901134305231</v>
      </c>
      <c r="G55">
        <f t="shared" si="5"/>
        <v>10.398993781320018</v>
      </c>
    </row>
    <row r="56" spans="1:7">
      <c r="A56">
        <v>43</v>
      </c>
      <c r="B56">
        <f t="shared" si="0"/>
        <v>8.1560171572567324</v>
      </c>
      <c r="C56">
        <f t="shared" si="1"/>
        <v>8.3774465812264403</v>
      </c>
      <c r="D56">
        <f t="shared" si="2"/>
        <v>9.4141663709796966</v>
      </c>
      <c r="E56">
        <f t="shared" si="3"/>
        <v>8.7148835964555822</v>
      </c>
      <c r="F56">
        <f t="shared" si="4"/>
        <v>13.463845536374656</v>
      </c>
      <c r="G56">
        <f t="shared" si="5"/>
        <v>10.579865024949408</v>
      </c>
    </row>
    <row r="57" spans="1:7">
      <c r="A57">
        <v>44</v>
      </c>
      <c r="B57">
        <f t="shared" si="0"/>
        <v>8.280693653144688</v>
      </c>
      <c r="C57">
        <f t="shared" si="1"/>
        <v>8.4781805963485493</v>
      </c>
      <c r="D57">
        <f t="shared" si="2"/>
        <v>9.5565484537224403</v>
      </c>
      <c r="E57">
        <f t="shared" si="3"/>
        <v>8.8513522846843813</v>
      </c>
      <c r="F57">
        <f t="shared" si="4"/>
        <v>13.604984865894208</v>
      </c>
      <c r="G57">
        <f t="shared" si="5"/>
        <v>10.759615797326559</v>
      </c>
    </row>
    <row r="58" spans="1:7">
      <c r="A58">
        <v>45</v>
      </c>
      <c r="B58">
        <f t="shared" si="0"/>
        <v>8.4044100749206994</v>
      </c>
      <c r="C58">
        <f t="shared" si="1"/>
        <v>8.5778213700426189</v>
      </c>
      <c r="D58">
        <f t="shared" si="2"/>
        <v>9.6978118025580446</v>
      </c>
      <c r="E58">
        <f t="shared" si="3"/>
        <v>8.9868192578332859</v>
      </c>
      <c r="F58">
        <f t="shared" si="4"/>
        <v>13.744382181186834</v>
      </c>
      <c r="G58">
        <f t="shared" si="5"/>
        <v>10.93827827532632</v>
      </c>
    </row>
    <row r="59" spans="1:7">
      <c r="A59">
        <v>46</v>
      </c>
      <c r="B59">
        <f t="shared" si="0"/>
        <v>8.5271949105453047</v>
      </c>
      <c r="C59">
        <f t="shared" si="1"/>
        <v>8.6764046745442176</v>
      </c>
      <c r="D59">
        <f t="shared" si="2"/>
        <v>9.8379897828921372</v>
      </c>
      <c r="E59">
        <f t="shared" si="3"/>
        <v>9.121313890451658</v>
      </c>
      <c r="F59">
        <f t="shared" si="4"/>
        <v>13.882096993095818</v>
      </c>
      <c r="G59">
        <f t="shared" si="5"/>
        <v>11.115883019109436</v>
      </c>
    </row>
    <row r="60" spans="1:7">
      <c r="A60">
        <v>47</v>
      </c>
      <c r="B60">
        <f t="shared" si="0"/>
        <v>8.6490752037633083</v>
      </c>
      <c r="C60">
        <f t="shared" si="1"/>
        <v>8.7739643630418378</v>
      </c>
      <c r="D60">
        <f t="shared" si="2"/>
        <v>9.9771140637542288</v>
      </c>
      <c r="E60">
        <f t="shared" si="3"/>
        <v>9.2548640778322468</v>
      </c>
      <c r="F60">
        <f t="shared" si="4"/>
        <v>14.018185536937375</v>
      </c>
      <c r="G60">
        <f t="shared" si="5"/>
        <v>11.29245908665261</v>
      </c>
    </row>
    <row r="61" spans="1:7">
      <c r="A61">
        <v>48</v>
      </c>
      <c r="B61">
        <f t="shared" si="0"/>
        <v>8.7700766563970216</v>
      </c>
      <c r="C61">
        <f t="shared" si="1"/>
        <v>8.8705325110866529</v>
      </c>
      <c r="D61">
        <f t="shared" si="2"/>
        <v>10.115214738192416</v>
      </c>
      <c r="E61">
        <f t="shared" si="3"/>
        <v>9.3874963403032048</v>
      </c>
      <c r="F61">
        <f t="shared" si="4"/>
        <v>14.152701018290559</v>
      </c>
      <c r="G61">
        <f t="shared" si="5"/>
        <v>11.468034137906024</v>
      </c>
    </row>
    <row r="62" spans="1:7">
      <c r="A62">
        <v>49</v>
      </c>
      <c r="B62">
        <f t="shared" si="0"/>
        <v>8.8902237214197779</v>
      </c>
      <c r="C62">
        <f t="shared" si="1"/>
        <v>8.9661395448653227</v>
      </c>
      <c r="D62">
        <f t="shared" si="2"/>
        <v>10.252320432800328</v>
      </c>
      <c r="E62">
        <f t="shared" si="3"/>
        <v>9.5192359181532975</v>
      </c>
      <c r="F62">
        <f t="shared" si="4"/>
        <v>14.285693835631539</v>
      </c>
      <c r="G62">
        <f t="shared" si="5"/>
        <v>11.642634529713785</v>
      </c>
    </row>
    <row r="63" spans="1:7">
      <c r="A63">
        <v>50</v>
      </c>
      <c r="B63">
        <f t="shared" si="0"/>
        <v>9.0095396878115555</v>
      </c>
      <c r="C63">
        <f t="shared" si="1"/>
        <v>9.0608143577985345</v>
      </c>
      <c r="D63">
        <f t="shared" si="2"/>
        <v>10.388458407558595</v>
      </c>
      <c r="E63">
        <f t="shared" si="3"/>
        <v>9.6501068582051612</v>
      </c>
      <c r="F63">
        <f t="shared" si="4"/>
        <v>14.417211782419686</v>
      </c>
      <c r="G63">
        <f t="shared" si="5"/>
        <v>11.816285402488024</v>
      </c>
    </row>
    <row r="64" spans="1:7">
      <c r="A64">
        <v>51</v>
      </c>
      <c r="B64">
        <f t="shared" si="0"/>
        <v>9.1280467580716351</v>
      </c>
      <c r="C64">
        <f t="shared" si="1"/>
        <v>9.1545844167389543</v>
      </c>
      <c r="D64">
        <f t="shared" si="2"/>
        <v>10.523654647023333</v>
      </c>
      <c r="E64">
        <f t="shared" si="3"/>
        <v>9.7801320929232958</v>
      </c>
      <c r="F64">
        <f t="shared" si="4"/>
        <v>14.547300230903147</v>
      </c>
      <c r="G64">
        <f t="shared" si="5"/>
        <v>11.989010759503191</v>
      </c>
    </row>
    <row r="65" spans="1:7">
      <c r="A65">
        <v>52</v>
      </c>
      <c r="B65">
        <f t="shared" si="0"/>
        <v>9.245766119154915</v>
      </c>
      <c r="C65">
        <f t="shared" si="1"/>
        <v>9.2474758588814616</v>
      </c>
      <c r="D65">
        <f t="shared" si="2"/>
        <v>10.657933943766164</v>
      </c>
      <c r="E65">
        <f t="shared" si="3"/>
        <v>9.9093335128340811</v>
      </c>
      <c r="F65">
        <f t="shared" si="4"/>
        <v>14.676002299622036</v>
      </c>
      <c r="G65">
        <f t="shared" si="5"/>
        <v>12.16083353957119</v>
      </c>
    </row>
    <row r="66" spans="1:7">
      <c r="A66">
        <v>53</v>
      </c>
      <c r="B66">
        <f t="shared" si="0"/>
        <v>9.3627180075052703</v>
      </c>
      <c r="C66">
        <f t="shared" si="1"/>
        <v>9.3395135803601352</v>
      </c>
      <c r="D66">
        <f t="shared" si="2"/>
        <v>10.791319974860134</v>
      </c>
      <c r="E66">
        <f t="shared" si="3"/>
        <v>10.037732032940523</v>
      </c>
      <c r="F66">
        <f t="shared" si="4"/>
        <v>14.803359006339553</v>
      </c>
      <c r="G66">
        <f t="shared" si="5"/>
        <v>12.3317756837662</v>
      </c>
    </row>
    <row r="67" spans="1:7">
      <c r="A67">
        <v>54</v>
      </c>
      <c r="B67">
        <f t="shared" si="0"/>
        <v>9.4789217687790064</v>
      </c>
      <c r="C67">
        <f t="shared" si="1"/>
        <v>9.4307213173880644</v>
      </c>
      <c r="D67">
        <f t="shared" si="2"/>
        <v>10.923835372110997</v>
      </c>
      <c r="E67">
        <f t="shared" si="3"/>
        <v>10.165347653733516</v>
      </c>
      <c r="F67">
        <f t="shared" si="4"/>
        <v>14.929409407918516</v>
      </c>
      <c r="G67">
        <f t="shared" si="5"/>
        <v>12.501858196789327</v>
      </c>
    </row>
    <row r="68" spans="1:7">
      <c r="A68">
        <v>55</v>
      </c>
      <c r="B68">
        <f t="shared" si="0"/>
        <v>9.594395912781998</v>
      </c>
      <c r="C68">
        <f t="shared" si="1"/>
        <v>9.5211217206935395</v>
      </c>
      <c r="D68">
        <f t="shared" si="2"/>
        <v>11.055501786651513</v>
      </c>
      <c r="E68">
        <f t="shared" si="3"/>
        <v>10.292199517330792</v>
      </c>
      <c r="F68">
        <f t="shared" si="4"/>
        <v>15.054190728477845</v>
      </c>
      <c r="G68">
        <f t="shared" si="5"/>
        <v>12.671101203494743</v>
      </c>
    </row>
    <row r="69" spans="1:7">
      <c r="A69">
        <v>56</v>
      </c>
      <c r="B69">
        <f t="shared" si="0"/>
        <v>9.7091581640839628</v>
      </c>
      <c r="C69">
        <f t="shared" si="1"/>
        <v>9.6107364239179098</v>
      </c>
      <c r="D69">
        <f t="shared" si="2"/>
        <v>11.18633994844512</v>
      </c>
      <c r="E69">
        <f t="shared" si="3"/>
        <v>10.418305959214083</v>
      </c>
      <c r="F69">
        <f t="shared" si="4"/>
        <v>15.177738477005422</v>
      </c>
      <c r="G69">
        <f t="shared" si="5"/>
        <v>12.839524001039718</v>
      </c>
    </row>
    <row r="70" spans="1:7">
      <c r="A70">
        <v>57</v>
      </c>
      <c r="B70">
        <f t="shared" si="0"/>
        <v>9.8232255087209843</v>
      </c>
      <c r="C70">
        <f t="shared" si="1"/>
        <v>9.6995861065636131</v>
      </c>
      <c r="D70">
        <f t="shared" si="2"/>
        <v>11.316369721183719</v>
      </c>
      <c r="E70">
        <f t="shared" si="3"/>
        <v>10.543684555981875</v>
      </c>
      <c r="F70">
        <f t="shared" si="4"/>
        <v>15.300086555466649</v>
      </c>
      <c r="G70">
        <f t="shared" si="5"/>
        <v>13.007145107069347</v>
      </c>
    </row>
    <row r="71" spans="1:7">
      <c r="A71">
        <v>58</v>
      </c>
      <c r="B71">
        <f t="shared" si="0"/>
        <v>9.9366142373517157</v>
      </c>
      <c r="C71">
        <f t="shared" si="1"/>
        <v>9.7876905520142721</v>
      </c>
      <c r="D71">
        <f t="shared" si="2"/>
        <v>11.445610153010515</v>
      </c>
      <c r="E71">
        <f t="shared" si="3"/>
        <v>10.668352169488927</v>
      </c>
      <c r="F71">
        <f t="shared" si="4"/>
        <v>15.421267358329521</v>
      </c>
      <c r="G71">
        <f t="shared" si="5"/>
        <v>13.17398230430152</v>
      </c>
    </row>
    <row r="72" spans="1:7">
      <c r="A72">
        <v>59</v>
      </c>
      <c r="B72">
        <f t="shared" si="0"/>
        <v>10.049339985192978</v>
      </c>
      <c r="C72">
        <f t="shared" si="1"/>
        <v>9.8750687010907061</v>
      </c>
      <c r="D72">
        <f t="shared" si="2"/>
        <v>11.574079523451662</v>
      </c>
      <c r="E72">
        <f t="shared" si="3"/>
        <v>10.792324987703466</v>
      </c>
      <c r="F72">
        <f t="shared" si="4"/>
        <v>15.541311864323223</v>
      </c>
      <c r="G72">
        <f t="shared" si="5"/>
        <v>13.34005268183855</v>
      </c>
    </row>
    <row r="73" spans="1:7">
      <c r="A73">
        <v>60</v>
      </c>
      <c r="B73">
        <f t="shared" si="0"/>
        <v>10.161417769025405</v>
      </c>
      <c r="C73">
        <f t="shared" si="1"/>
        <v>9.9617387015558574</v>
      </c>
      <c r="D73">
        <f t="shared" si="2"/>
        <v>11.701795386899407</v>
      </c>
      <c r="E73">
        <f t="shared" si="3"/>
        <v>10.915618562577448</v>
      </c>
      <c r="F73">
        <f t="shared" si="4"/>
        <v>15.660249721157268</v>
      </c>
      <c r="G73">
        <f t="shared" si="5"/>
        <v>13.505372673496902</v>
      </c>
    </row>
    <row r="74" spans="1:7">
      <c r="A74">
        <v>61</v>
      </c>
      <c r="B74">
        <f t="shared" si="0"/>
        <v>10.27286202152937</v>
      </c>
      <c r="C74">
        <f t="shared" si="1"/>
        <v>10.047717953937312</v>
      </c>
      <c r="D74">
        <f t="shared" si="2"/>
        <v>11.828774612953364</v>
      </c>
      <c r="E74">
        <f t="shared" si="3"/>
        <v>11.038247845194398</v>
      </c>
      <c r="F74">
        <f t="shared" si="4"/>
        <v>15.778109323849113</v>
      </c>
      <c r="G74">
        <f t="shared" si="5"/>
        <v>13.669958093416504</v>
      </c>
    </row>
    <row r="75" spans="1:7">
      <c r="A75">
        <v>62</v>
      </c>
      <c r="B75">
        <f t="shared" si="0"/>
        <v>10.38368662318412</v>
      </c>
      <c r="C75">
        <f t="shared" si="1"/>
        <v>10.133023153996952</v>
      </c>
      <c r="D75">
        <f t="shared" si="2"/>
        <v>11.955033423894362</v>
      </c>
      <c r="E75">
        <f t="shared" si="3"/>
        <v>11.160227218431693</v>
      </c>
      <c r="F75">
        <f t="shared" si="4"/>
        <v>15.894917887238762</v>
      </c>
      <c r="G75">
        <f t="shared" si="5"/>
        <v>13.833824169183853</v>
      </c>
    </row>
    <row r="76" spans="1:7">
      <c r="A76">
        <v>63</v>
      </c>
      <c r="B76">
        <f t="shared" si="0"/>
        <v>10.493904931939692</v>
      </c>
      <c r="C76">
        <f t="shared" si="1"/>
        <v>10.21767033214306</v>
      </c>
      <c r="D76">
        <f t="shared" si="2"/>
        <v>12.080587429537822</v>
      </c>
      <c r="E76">
        <f t="shared" si="3"/>
        <v>11.281570527350443</v>
      </c>
      <c r="F76">
        <f t="shared" si="4"/>
        <v>16.010701513208453</v>
      </c>
      <c r="G76">
        <f t="shared" si="5"/>
        <v>13.996985572679945</v>
      </c>
    </row>
    <row r="77" spans="1:7">
      <c r="A77">
        <v>64</v>
      </c>
      <c r="B77">
        <f t="shared" si="0"/>
        <v>10.60352981084975</v>
      </c>
      <c r="C77">
        <f t="shared" si="1"/>
        <v>10.301674890049883</v>
      </c>
      <c r="D77">
        <f t="shared" si="2"/>
        <v>12.205451659688302</v>
      </c>
      <c r="E77">
        <f t="shared" si="3"/>
        <v>11.402291107504373</v>
      </c>
      <c r="F77">
        <f t="shared" si="4"/>
        <v>16.125485253071496</v>
      </c>
      <c r="G77">
        <f t="shared" si="5"/>
        <v>14.159456448842725</v>
      </c>
    </row>
    <row r="78" spans="1:7">
      <c r="A78">
        <v>65</v>
      </c>
      <c r="B78">
        <f t="shared" ref="B78:B141" si="6">EXP($B$4+$C$4*LN(A78))</f>
        <v>10.712573653835197</v>
      </c>
      <c r="C78">
        <f t="shared" ref="C78:C141" si="7">EXP($B$5+$C$5*LN(A78))</f>
        <v>10.385051634722892</v>
      </c>
      <c r="D78">
        <f t="shared" ref="D78:D141" si="8">EXP($B$6+$C$6*LN(A78))</f>
        <v>12.329640594395167</v>
      </c>
      <c r="E78">
        <f t="shared" ref="E78:E141" si="9">EXP($B$7+$C$7*LN(A78))</f>
        <v>11.522401811340556</v>
      </c>
      <c r="F78">
        <f t="shared" ref="F78:F141" si="10">EXP($B$8+$C$8*LN(A78))</f>
        <v>16.239293165547245</v>
      </c>
      <c r="G78">
        <f t="shared" ref="G78:G141" si="11">EXP($B$9+$C$9*LN(A78))</f>
        <v>14.321250442515485</v>
      </c>
    </row>
    <row r="79" spans="1:7">
      <c r="A79">
        <v>66</v>
      </c>
      <c r="B79">
        <f t="shared" si="6"/>
        <v>10.821048409731683</v>
      </c>
      <c r="C79">
        <f t="shared" si="7"/>
        <v>10.46781481022435</v>
      </c>
      <c r="D79">
        <f t="shared" si="8"/>
        <v>12.453168192189937</v>
      </c>
      <c r="E79">
        <f t="shared" si="9"/>
        <v>11.641915032847834</v>
      </c>
      <c r="F79">
        <f t="shared" si="10"/>
        <v>16.352148370697407</v>
      </c>
      <c r="G79">
        <f t="shared" si="11"/>
        <v>14.482380723535934</v>
      </c>
    </row>
    <row r="80" spans="1:7">
      <c r="A80">
        <v>67</v>
      </c>
      <c r="B80">
        <f t="shared" si="6"/>
        <v>10.928965604759556</v>
      </c>
      <c r="C80">
        <f t="shared" si="7"/>
        <v>10.549978127252853</v>
      </c>
      <c r="D80">
        <f t="shared" si="8"/>
        <v>12.576047916468271</v>
      </c>
      <c r="E80">
        <f t="shared" si="9"/>
        <v>11.76084273059406</v>
      </c>
      <c r="F80">
        <f t="shared" si="10"/>
        <v>16.464073100161627</v>
      </c>
      <c r="G80">
        <f t="shared" si="11"/>
        <v>14.642860010206158</v>
      </c>
    </row>
    <row r="81" spans="1:7">
      <c r="A81">
        <v>68</v>
      </c>
      <c r="B81">
        <f t="shared" si="6"/>
        <v>11.036336363541743</v>
      </c>
      <c r="C81">
        <f t="shared" si="7"/>
        <v>10.631554790751668</v>
      </c>
      <c r="D81">
        <f t="shared" si="8"/>
        <v>12.698292760164446</v>
      </c>
      <c r="E81">
        <f t="shared" si="9"/>
        <v>11.879196449279862</v>
      </c>
      <c r="F81">
        <f t="shared" si="10"/>
        <v>16.575088743997672</v>
      </c>
      <c r="G81">
        <f t="shared" si="11"/>
        <v>14.802700591270558</v>
      </c>
    </row>
    <row r="82" spans="1:7">
      <c r="A82">
        <v>69</v>
      </c>
      <c r="B82">
        <f t="shared" si="6"/>
        <v>11.14317142878321</v>
      </c>
      <c r="C82">
        <f t="shared" si="7"/>
        <v>10.712557525704296</v>
      </c>
      <c r="D82">
        <f t="shared" si="8"/>
        <v>12.81991526885218</v>
      </c>
      <c r="E82">
        <f t="shared" si="9"/>
        <v>11.996987339924798</v>
      </c>
      <c r="F82">
        <f t="shared" si="10"/>
        <v>16.685215894401885</v>
      </c>
      <c r="G82">
        <f t="shared" si="11"/>
        <v>14.961914346516981</v>
      </c>
    </row>
    <row r="83" spans="1:7">
      <c r="A83">
        <v>70</v>
      </c>
      <c r="B83">
        <f t="shared" si="6"/>
        <v>11.249481179715541</v>
      </c>
      <c r="C83">
        <f t="shared" si="7"/>
        <v>10.792998601260686</v>
      </c>
      <c r="D83">
        <f t="shared" si="8"/>
        <v>12.940927562393552</v>
      </c>
      <c r="E83">
        <f t="shared" si="9"/>
        <v>12.114226178791293</v>
      </c>
      <c r="F83">
        <f t="shared" si="10"/>
        <v>16.794474386559983</v>
      </c>
      <c r="G83">
        <f t="shared" si="11"/>
        <v>15.120512766106184</v>
      </c>
    </row>
    <row r="84" spans="1:7">
      <c r="A84">
        <v>71</v>
      </c>
      <c r="B84">
        <f t="shared" si="6"/>
        <v>11.355275649400417</v>
      </c>
      <c r="C84">
        <f t="shared" si="7"/>
        <v>10.872889853324434</v>
      </c>
      <c r="D84">
        <f t="shared" si="8"/>
        <v>13.061341355246562</v>
      </c>
      <c r="E84">
        <f t="shared" si="9"/>
        <v>12.230923385142058</v>
      </c>
      <c r="F84">
        <f t="shared" si="10"/>
        <v>16.902883336854497</v>
      </c>
      <c r="G84">
        <f t="shared" si="11"/>
        <v>15.278506968724942</v>
      </c>
    </row>
    <row r="85" spans="1:7">
      <c r="A85">
        <v>72</v>
      </c>
      <c r="B85">
        <f t="shared" si="6"/>
        <v>11.460564540977801</v>
      </c>
      <c r="C85">
        <f t="shared" si="7"/>
        <v>10.952242705719314</v>
      </c>
      <c r="D85">
        <f t="shared" si="8"/>
        <v>13.181167975532274</v>
      </c>
      <c r="E85">
        <f t="shared" si="9"/>
        <v>12.347089037918332</v>
      </c>
      <c r="F85">
        <f t="shared" si="10"/>
        <v>17.010461178634806</v>
      </c>
      <c r="G85">
        <f t="shared" si="11"/>
        <v>15.435907718650068</v>
      </c>
    </row>
    <row r="86" spans="1:7">
      <c r="A86">
        <v>73</v>
      </c>
      <c r="B86">
        <f t="shared" si="6"/>
        <v>11.565357242936823</v>
      </c>
      <c r="C86">
        <f t="shared" si="7"/>
        <v>11.031068190042957</v>
      </c>
      <c r="D86">
        <f t="shared" si="8"/>
        <v>13.300418382953254</v>
      </c>
      <c r="E86">
        <f t="shared" si="9"/>
        <v>12.462732891418575</v>
      </c>
      <c r="F86">
        <f t="shared" si="10"/>
        <v>17.117225695736582</v>
      </c>
      <c r="G86">
        <f t="shared" si="11"/>
        <v>15.592725441802793</v>
      </c>
    </row>
    <row r="87" spans="1:7">
      <c r="A87">
        <v>74</v>
      </c>
      <c r="B87">
        <f t="shared" si="6"/>
        <v>11.669662843480781</v>
      </c>
      <c r="C87">
        <f t="shared" si="7"/>
        <v>11.109376964305909</v>
      </c>
      <c r="D87">
        <f t="shared" si="8"/>
        <v>13.419103185647495</v>
      </c>
      <c r="E87">
        <f t="shared" si="9"/>
        <v>12.57786439005039</v>
      </c>
      <c r="F87">
        <f t="shared" si="10"/>
        <v>17.223194053921354</v>
      </c>
      <c r="G87">
        <f t="shared" si="11"/>
        <v>15.748970240866328</v>
      </c>
    </row>
    <row r="88" spans="1:7">
      <c r="A88">
        <v>75</v>
      </c>
      <c r="B88">
        <f t="shared" si="6"/>
        <v>11.773490144051365</v>
      </c>
      <c r="C88">
        <f t="shared" si="7"/>
        <v>11.187179330445773</v>
      </c>
      <c r="D88">
        <f t="shared" si="8"/>
        <v>13.537232656054318</v>
      </c>
      <c r="E88">
        <f t="shared" si="9"/>
        <v>12.692492682222126</v>
      </c>
      <c r="F88">
        <f t="shared" si="10"/>
        <v>17.328382830391217</v>
      </c>
      <c r="G88">
        <f t="shared" si="11"/>
        <v>15.904651909533028</v>
      </c>
    </row>
    <row r="89" spans="1:7">
      <c r="A89">
        <v>76</v>
      </c>
      <c r="B89">
        <f t="shared" si="6"/>
        <v>11.876847672072078</v>
      </c>
      <c r="C89">
        <f t="shared" si="7"/>
        <v>11.264485250798382</v>
      </c>
      <c r="D89">
        <f t="shared" si="8"/>
        <v>13.654816745862826</v>
      </c>
      <c r="E89">
        <f t="shared" si="9"/>
        <v>12.806626633435293</v>
      </c>
      <c r="F89">
        <f t="shared" si="10"/>
        <v>17.432808041520779</v>
      </c>
      <c r="G89">
        <f t="shared" si="11"/>
        <v>16.05977994594242</v>
      </c>
    </row>
    <row r="90" spans="1:7">
      <c r="A90">
        <v>77</v>
      </c>
      <c r="B90">
        <f t="shared" si="6"/>
        <v>11.979743692965267</v>
      </c>
      <c r="C90">
        <f t="shared" si="7"/>
        <v>11.341304363600884</v>
      </c>
      <c r="D90">
        <f t="shared" si="8"/>
        <v>13.77186510010703</v>
      </c>
      <c r="E90">
        <f t="shared" si="9"/>
        <v>12.920274838633402</v>
      </c>
      <c r="F90">
        <f t="shared" si="10"/>
        <v>17.53648516893584</v>
      </c>
      <c r="G90">
        <f t="shared" si="11"/>
        <v>16.214363565365804</v>
      </c>
    </row>
    <row r="91" spans="1:7">
      <c r="A91">
        <v>78</v>
      </c>
      <c r="B91">
        <f t="shared" si="6"/>
        <v>12.082186221493366</v>
      </c>
      <c r="C91">
        <f t="shared" si="7"/>
        <v>11.41764599759558</v>
      </c>
      <c r="D91">
        <f t="shared" si="8"/>
        <v>13.88838707046701</v>
      </c>
      <c r="E91">
        <f t="shared" si="9"/>
        <v>13.033445633858816</v>
      </c>
      <c r="F91">
        <f t="shared" si="10"/>
        <v>17.639429184057565</v>
      </c>
      <c r="G91">
        <f t="shared" si="11"/>
        <v>16.368411712189111</v>
      </c>
    </row>
    <row r="92" spans="1:7">
      <c r="A92">
        <v>79</v>
      </c>
      <c r="B92">
        <f t="shared" si="6"/>
        <v>12.184183032470328</v>
      </c>
      <c r="C92">
        <f t="shared" si="7"/>
        <v>11.493519185797417</v>
      </c>
      <c r="D92">
        <f t="shared" si="8"/>
        <v>14.004391727830338</v>
      </c>
      <c r="E92">
        <f t="shared" si="9"/>
        <v>13.146147107264595</v>
      </c>
      <c r="F92">
        <f t="shared" si="10"/>
        <v>17.74165457122092</v>
      </c>
      <c r="G92">
        <f t="shared" si="11"/>
        <v>16.52193307124125</v>
      </c>
    </row>
    <row r="93" spans="1:7">
      <c r="A93">
        <v>80</v>
      </c>
      <c r="B93">
        <f t="shared" si="6"/>
        <v>12.285741670885752</v>
      </c>
      <c r="C93">
        <f t="shared" si="7"/>
        <v>11.568932678482991</v>
      </c>
      <c r="D93">
        <f t="shared" si="8"/>
        <v>14.119887874163625</v>
      </c>
      <c r="E93">
        <f t="shared" si="9"/>
        <v>13.258387109524726</v>
      </c>
      <c r="F93">
        <f t="shared" si="10"/>
        <v>17.843175349466993</v>
      </c>
      <c r="G93">
        <f t="shared" si="11"/>
        <v>16.674936078511454</v>
      </c>
    </row>
    <row r="94" spans="1:7">
      <c r="A94">
        <v>81</v>
      </c>
      <c r="B94">
        <f t="shared" si="6"/>
        <v>12.386869461480952</v>
      </c>
      <c r="C94">
        <f t="shared" si="7"/>
        <v>11.643894955454286</v>
      </c>
      <c r="D94">
        <f t="shared" si="8"/>
        <v>14.234884053740499</v>
      </c>
      <c r="E94">
        <f t="shared" si="9"/>
        <v>13.370173263682794</v>
      </c>
      <c r="F94">
        <f t="shared" si="10"/>
        <v>17.944005093101119</v>
      </c>
      <c r="G94">
        <f t="shared" si="11"/>
        <v>16.827428931295916</v>
      </c>
    </row>
    <row r="95" spans="1:7">
      <c r="A95">
        <v>82</v>
      </c>
      <c r="B95">
        <f t="shared" si="6"/>
        <v>12.487573517812837</v>
      </c>
      <c r="C95">
        <f t="shared" si="7"/>
        <v>11.718414237625957</v>
      </c>
      <c r="D95">
        <f t="shared" si="8"/>
        <v>14.349388563767995</v>
      </c>
      <c r="E95">
        <f t="shared" si="9"/>
        <v>13.481512974475775</v>
      </c>
      <c r="F95">
        <f t="shared" si="10"/>
        <v>18.044156951100625</v>
      </c>
      <c r="G95">
        <f t="shared" si="11"/>
        <v>16.979419597810612</v>
      </c>
    </row>
    <row r="96" spans="1:7">
      <c r="A96">
        <v>83</v>
      </c>
      <c r="B96">
        <f t="shared" si="6"/>
        <v>12.58786075083907</v>
      </c>
      <c r="C96">
        <f t="shared" si="7"/>
        <v>11.792498497981446</v>
      </c>
      <c r="D96">
        <f t="shared" si="8"/>
        <v>14.463409464450953</v>
      </c>
      <c r="E96">
        <f t="shared" si="9"/>
        <v>13.592413437167233</v>
      </c>
      <c r="F96">
        <f t="shared" si="10"/>
        <v>18.143643665450281</v>
      </c>
      <c r="G96">
        <f t="shared" si="11"/>
        <v>17.130915826304776</v>
      </c>
    </row>
    <row r="97" spans="1:7">
      <c r="A97">
        <v>84</v>
      </c>
      <c r="B97">
        <f t="shared" si="6"/>
        <v>12.687737877055156</v>
      </c>
      <c r="C97">
        <f t="shared" si="7"/>
        <v>11.866155471939251</v>
      </c>
      <c r="D97">
        <f t="shared" si="8"/>
        <v>14.57695458853018</v>
      </c>
      <c r="E97">
        <f t="shared" si="9"/>
        <v>13.702881645921003</v>
      </c>
      <c r="F97">
        <f t="shared" si="10"/>
        <v>18.242477588476383</v>
      </c>
      <c r="G97">
        <f t="shared" si="11"/>
        <v>17.281925153706389</v>
      </c>
    </row>
    <row r="98" spans="1:7">
      <c r="A98">
        <v>85</v>
      </c>
      <c r="B98">
        <f t="shared" si="6"/>
        <v>12.787211426211908</v>
      </c>
      <c r="C98">
        <f t="shared" si="7"/>
        <v>11.939392667167912</v>
      </c>
      <c r="D98">
        <f t="shared" si="8"/>
        <v>14.690031550328111</v>
      </c>
      <c r="E98">
        <f t="shared" si="9"/>
        <v>13.812924401744723</v>
      </c>
      <c r="F98">
        <f t="shared" si="10"/>
        <v>18.340670699245706</v>
      </c>
      <c r="G98">
        <f t="shared" si="11"/>
        <v>17.432454913829289</v>
      </c>
    </row>
    <row r="99" spans="1:7">
      <c r="A99">
        <v>86</v>
      </c>
      <c r="B99">
        <f t="shared" si="6"/>
        <v>12.88628774863956</v>
      </c>
      <c r="C99">
        <f t="shared" si="7"/>
        <v>12.012217372885045</v>
      </c>
      <c r="D99">
        <f t="shared" si="8"/>
        <v>14.802647754332595</v>
      </c>
      <c r="E99">
        <f t="shared" si="9"/>
        <v>13.922548320029867</v>
      </c>
      <c r="F99">
        <f t="shared" si="10"/>
        <v>18.438234619090029</v>
      </c>
      <c r="G99">
        <f t="shared" si="11"/>
        <v>17.582512245168633</v>
      </c>
    </row>
    <row r="100" spans="1:7">
      <c r="A100">
        <v>87</v>
      </c>
      <c r="B100">
        <f t="shared" si="6"/>
        <v>12.984973022203071</v>
      </c>
      <c r="C100">
        <f t="shared" si="7"/>
        <v>12.084636668673276</v>
      </c>
      <c r="D100">
        <f t="shared" si="8"/>
        <v>14.914810403347802</v>
      </c>
      <c r="E100">
        <f t="shared" si="9"/>
        <v>14.031759837713507</v>
      </c>
      <c r="F100">
        <f t="shared" si="10"/>
        <v>18.535180626312506</v>
      </c>
      <c r="G100">
        <f t="shared" si="11"/>
        <v>17.732104098310423</v>
      </c>
    </row>
    <row r="101" spans="1:7">
      <c r="A101">
        <v>88</v>
      </c>
      <c r="B101">
        <f t="shared" si="6"/>
        <v>13.083273258910939</v>
      </c>
      <c r="C101">
        <f t="shared" si="7"/>
        <v>12.156657432843399</v>
      </c>
      <c r="D101">
        <f t="shared" si="8"/>
        <v>15.026526506238465</v>
      </c>
      <c r="E101">
        <f t="shared" si="9"/>
        <v>14.140565220084545</v>
      </c>
      <c r="F101">
        <f t="shared" si="10"/>
        <v>18.631519670127787</v>
      </c>
      <c r="G101">
        <f t="shared" si="11"/>
        <v>17.881237242977853</v>
      </c>
    </row>
    <row r="102" spans="1:7">
      <c r="A102">
        <v>89</v>
      </c>
      <c r="B102">
        <f t="shared" si="6"/>
        <v>13.181194311198789</v>
      </c>
      <c r="C102">
        <f t="shared" si="7"/>
        <v>12.228286350372864</v>
      </c>
      <c r="D102">
        <f t="shared" si="8"/>
        <v>15.137802885292409</v>
      </c>
      <c r="E102">
        <f t="shared" si="9"/>
        <v>14.248970567256235</v>
      </c>
      <c r="F102">
        <f t="shared" si="10"/>
        <v>18.727262383884216</v>
      </c>
      <c r="G102">
        <f t="shared" si="11"/>
        <v>18.02991827473663</v>
      </c>
    </row>
    <row r="103" spans="1:7">
      <c r="A103">
        <v>90</v>
      </c>
      <c r="B103">
        <f t="shared" si="6"/>
        <v>13.278741877907066</v>
      </c>
      <c r="C103">
        <f t="shared" si="7"/>
        <v>12.299529920445742</v>
      </c>
      <c r="D103">
        <f t="shared" si="8"/>
        <v>15.248646183224082</v>
      </c>
      <c r="E103">
        <f t="shared" si="9"/>
        <v>14.356981820324718</v>
      </c>
      <c r="F103">
        <f t="shared" si="10"/>
        <v>18.822419097612514</v>
      </c>
      <c r="G103">
        <f t="shared" si="11"/>
        <v>18.178153621379195</v>
      </c>
    </row>
    <row r="104" spans="1:7">
      <c r="A104">
        <v>91</v>
      </c>
      <c r="B104">
        <f t="shared" si="6"/>
        <v>13.375921509970949</v>
      </c>
      <c r="C104">
        <f t="shared" si="7"/>
        <v>12.370394463618291</v>
      </c>
      <c r="D104">
        <f t="shared" si="8"/>
        <v>15.359062869840423</v>
      </c>
      <c r="E104">
        <f t="shared" si="9"/>
        <v>14.464604767232141</v>
      </c>
      <c r="F104">
        <f t="shared" si="10"/>
        <v>18.916999849942449</v>
      </c>
      <c r="G104">
        <f t="shared" si="11"/>
        <v>18.325949549006641</v>
      </c>
    </row>
    <row r="105" spans="1:7">
      <c r="A105">
        <v>92</v>
      </c>
      <c r="B105">
        <f t="shared" si="6"/>
        <v>13.472738615839415</v>
      </c>
      <c r="C105">
        <f t="shared" si="7"/>
        <v>12.440886128632652</v>
      </c>
      <c r="D105">
        <f t="shared" si="8"/>
        <v>15.469059248388914</v>
      </c>
      <c r="E105">
        <f t="shared" si="9"/>
        <v>14.57184504835171</v>
      </c>
      <c r="F105">
        <f t="shared" si="10"/>
        <v>19.011014399425921</v>
      </c>
      <c r="G105">
        <f t="shared" si="11"/>
        <v>18.473312167825924</v>
      </c>
    </row>
    <row r="106" spans="1:7">
      <c r="A106">
        <v>93</v>
      </c>
      <c r="B106">
        <f t="shared" si="6"/>
        <v>13.569198466639062</v>
      </c>
      <c r="C106">
        <f t="shared" si="7"/>
        <v>12.511010898899571</v>
      </c>
      <c r="D106">
        <f t="shared" si="8"/>
        <v>15.578641461606184</v>
      </c>
      <c r="E106">
        <f t="shared" si="9"/>
        <v>14.678708161810603</v>
      </c>
      <c r="F106">
        <f t="shared" si="10"/>
        <v>19.104472235302044</v>
      </c>
      <c r="G106">
        <f t="shared" si="11"/>
        <v>18.620247437678394</v>
      </c>
    </row>
    <row r="107" spans="1:7">
      <c r="A107">
        <v>94</v>
      </c>
      <c r="B107">
        <f t="shared" si="6"/>
        <v>13.665306201097421</v>
      </c>
      <c r="C107">
        <f t="shared" si="7"/>
        <v>12.580774598669642</v>
      </c>
      <c r="D107">
        <f t="shared" si="8"/>
        <v>15.687815497484399</v>
      </c>
      <c r="E107">
        <f t="shared" si="9"/>
        <v>14.785199468565828</v>
      </c>
      <c r="F107">
        <f t="shared" si="10"/>
        <v>19.197382587737494</v>
      </c>
      <c r="G107">
        <f t="shared" si="11"/>
        <v>18.766761173315142</v>
      </c>
    </row>
    <row r="108" spans="1:7">
      <c r="A108">
        <v>95</v>
      </c>
      <c r="B108">
        <f t="shared" si="6"/>
        <v>13.761066830239326</v>
      </c>
      <c r="C108">
        <f t="shared" si="7"/>
        <v>12.650182898911115</v>
      </c>
      <c r="D108">
        <f t="shared" si="8"/>
        <v>15.79658719477152</v>
      </c>
      <c r="E108">
        <f t="shared" si="9"/>
        <v>14.891324197247032</v>
      </c>
      <c r="F108">
        <f t="shared" si="10"/>
        <v>19.289754437572981</v>
      </c>
      <c r="G108">
        <f t="shared" si="11"/>
        <v>18.912859049433163</v>
      </c>
    </row>
    <row r="109" spans="1:7">
      <c r="A109">
        <v>96</v>
      </c>
      <c r="B109">
        <f t="shared" si="6"/>
        <v>13.856485241869061</v>
      </c>
      <c r="C109">
        <f t="shared" si="7"/>
        <v>12.719241322911216</v>
      </c>
      <c r="D109">
        <f t="shared" si="8"/>
        <v>15.904962248220174</v>
      </c>
      <c r="E109">
        <f t="shared" si="9"/>
        <v>14.997087448779105</v>
      </c>
      <c r="F109">
        <f t="shared" si="10"/>
        <v>19.381596525604582</v>
      </c>
      <c r="G109">
        <f t="shared" si="11"/>
        <v>19.058546605485525</v>
      </c>
    </row>
    <row r="110" spans="1:7">
      <c r="A110">
        <v>97</v>
      </c>
      <c r="B110">
        <f t="shared" si="6"/>
        <v>13.951566204850243</v>
      </c>
      <c r="C110">
        <f t="shared" si="7"/>
        <v>12.787955251616657</v>
      </c>
      <c r="D110">
        <f t="shared" si="8"/>
        <v>16.012946213599395</v>
      </c>
      <c r="E110">
        <f t="shared" si="9"/>
        <v>15.102494200797</v>
      </c>
      <c r="F110">
        <f t="shared" si="10"/>
        <v>19.47291736142671</v>
      </c>
      <c r="G110">
        <f t="shared" si="11"/>
        <v>19.203829250278076</v>
      </c>
    </row>
    <row r="111" spans="1:7">
      <c r="A111">
        <v>98</v>
      </c>
      <c r="B111">
        <f t="shared" si="6"/>
        <v>14.046314373194544</v>
      </c>
      <c r="C111">
        <f t="shared" si="7"/>
        <v>12.856329928728153</v>
      </c>
      <c r="D111">
        <f t="shared" si="8"/>
        <v>16.120544512482073</v>
      </c>
      <c r="E111">
        <f t="shared" si="9"/>
        <v>15.207549311864033</v>
      </c>
      <c r="F111">
        <f t="shared" si="10"/>
        <v>19.563725231861799</v>
      </c>
      <c r="G111">
        <f t="shared" si="11"/>
        <v>19.348712266364178</v>
      </c>
    </row>
    <row r="112" spans="1:7">
      <c r="A112">
        <v>99</v>
      </c>
      <c r="B112">
        <f t="shared" si="6"/>
        <v>14.140734289969581</v>
      </c>
      <c r="C112">
        <f t="shared" si="7"/>
        <v>12.924370465562502</v>
      </c>
      <c r="D112">
        <f t="shared" si="8"/>
        <v>16.227762436820417</v>
      </c>
      <c r="E112">
        <f t="shared" si="9"/>
        <v>15.312257525504331</v>
      </c>
      <c r="F112">
        <f t="shared" si="10"/>
        <v>19.654028208999918</v>
      </c>
      <c r="G112">
        <f t="shared" si="11"/>
        <v>19.493200814248322</v>
      </c>
    </row>
    <row r="113" spans="1:7">
      <c r="A113">
        <v>100</v>
      </c>
      <c r="B113">
        <f t="shared" si="6"/>
        <v>14.234830391035857</v>
      </c>
      <c r="C113">
        <f t="shared" si="7"/>
        <v>12.992081845695255</v>
      </c>
      <c r="D113">
        <f t="shared" si="8"/>
        <v>16.334605153320865</v>
      </c>
      <c r="E113">
        <f t="shared" si="9"/>
        <v>15.416623474059481</v>
      </c>
      <c r="F113">
        <f t="shared" si="10"/>
        <v>19.743834157870303</v>
      </c>
      <c r="G113">
        <f t="shared" si="11"/>
        <v>19.637299936408841</v>
      </c>
    </row>
    <row r="114" spans="1:7">
      <c r="A114">
        <v>101</v>
      </c>
      <c r="B114">
        <f t="shared" si="6"/>
        <v>14.32860700862166</v>
      </c>
      <c r="C114">
        <f t="shared" si="7"/>
        <v>13.059468929395763</v>
      </c>
      <c r="D114">
        <f t="shared" si="8"/>
        <v>16.44107770762907</v>
      </c>
      <c r="E114">
        <f t="shared" si="9"/>
        <v>15.520651682378539</v>
      </c>
      <c r="F114">
        <f t="shared" si="10"/>
        <v>19.833150743764786</v>
      </c>
      <c r="G114">
        <f t="shared" si="11"/>
        <v>19.781014561149046</v>
      </c>
    </row>
    <row r="115" spans="1:7">
      <c r="A115">
        <v>102</v>
      </c>
      <c r="B115">
        <f t="shared" si="6"/>
        <v>14.422068374744704</v>
      </c>
      <c r="C115">
        <f t="shared" si="7"/>
        <v>13.126536457866068</v>
      </c>
      <c r="D115">
        <f t="shared" si="8"/>
        <v>16.547185028335175</v>
      </c>
      <c r="E115">
        <f t="shared" si="9"/>
        <v>15.624346571350493</v>
      </c>
      <c r="F115">
        <f t="shared" si="10"/>
        <v>19.921985439232749</v>
      </c>
      <c r="G115">
        <f t="shared" si="11"/>
        <v>19.92434950628601</v>
      </c>
    </row>
    <row r="116" spans="1:7">
      <c r="A116">
        <v>103</v>
      </c>
      <c r="B116">
        <f t="shared" si="6"/>
        <v>14.515218624488369</v>
      </c>
      <c r="C116">
        <f t="shared" si="7"/>
        <v>13.193289057293965</v>
      </c>
      <c r="D116">
        <f t="shared" si="8"/>
        <v>16.65293193080856</v>
      </c>
      <c r="E116">
        <f t="shared" si="9"/>
        <v>15.727712461287036</v>
      </c>
      <c r="F116">
        <f t="shared" si="10"/>
        <v>20.010345530764873</v>
      </c>
      <c r="G116">
        <f t="shared" si="11"/>
        <v>20.06730948268514</v>
      </c>
    </row>
    <row r="117" spans="1:7">
      <c r="A117">
        <v>104</v>
      </c>
      <c r="B117">
        <f t="shared" si="6"/>
        <v>14.608061799140023</v>
      </c>
      <c r="C117">
        <f t="shared" si="7"/>
        <v>13.259731242730124</v>
      </c>
      <c r="D117">
        <f t="shared" si="8"/>
        <v>16.758323120871015</v>
      </c>
      <c r="E117">
        <f t="shared" si="9"/>
        <v>15.830753575163596</v>
      </c>
      <c r="F117">
        <f t="shared" si="10"/>
        <v>20.098238125182689</v>
      </c>
      <c r="G117">
        <f t="shared" si="11"/>
        <v>20.209899097648488</v>
      </c>
    </row>
    <row r="118" spans="1:7">
      <c r="A118">
        <v>105</v>
      </c>
      <c r="B118">
        <f t="shared" si="6"/>
        <v>14.700601849198765</v>
      </c>
      <c r="C118">
        <f t="shared" si="7"/>
        <v>13.32586742179873</v>
      </c>
      <c r="D118">
        <f t="shared" si="8"/>
        <v>16.863363198316701</v>
      </c>
      <c r="E118">
        <f t="shared" si="9"/>
        <v>15.933474041725814</v>
      </c>
      <c r="F118">
        <f t="shared" si="10"/>
        <v>20.185670155749627</v>
      </c>
      <c r="G118">
        <f t="shared" si="11"/>
        <v>20.352122858164257</v>
      </c>
    </row>
    <row r="119" spans="1:7">
      <c r="A119">
        <v>106</v>
      </c>
      <c r="B119">
        <f t="shared" si="6"/>
        <v>14.792842637258858</v>
      </c>
      <c r="C119">
        <f t="shared" si="7"/>
        <v>13.391701898249961</v>
      </c>
      <c r="D119">
        <f t="shared" si="8"/>
        <v>16.968056660286564</v>
      </c>
      <c r="E119">
        <f t="shared" si="9"/>
        <v>16.035877898468307</v>
      </c>
      <c r="F119">
        <f t="shared" si="10"/>
        <v>20.272648388017942</v>
      </c>
      <c r="G119">
        <f t="shared" si="11"/>
        <v>20.493985174024356</v>
      </c>
    </row>
    <row r="120" spans="1:7">
      <c r="A120">
        <v>107</v>
      </c>
      <c r="B120">
        <f t="shared" si="6"/>
        <v>14.884787940775377</v>
      </c>
      <c r="C120">
        <f t="shared" si="7"/>
        <v>13.457238875362796</v>
      </c>
      <c r="D120">
        <f t="shared" si="8"/>
        <v>17.072407904504537</v>
      </c>
      <c r="E120">
        <f t="shared" si="9"/>
        <v>16.137969094492004</v>
      </c>
      <c r="F120">
        <f t="shared" si="10"/>
        <v>20.35917942542568</v>
      </c>
      <c r="G120">
        <f t="shared" si="11"/>
        <v>20.635490360816636</v>
      </c>
    </row>
    <row r="121" spans="1:7">
      <c r="A121">
        <v>108</v>
      </c>
      <c r="B121">
        <f t="shared" si="6"/>
        <v>14.976441454717856</v>
      </c>
      <c r="C121">
        <f t="shared" si="7"/>
        <v>13.522482459205568</v>
      </c>
      <c r="D121">
        <f t="shared" si="8"/>
        <v>17.176421232382598</v>
      </c>
      <c r="E121">
        <f t="shared" si="9"/>
        <v>16.239751493246288</v>
      </c>
      <c r="F121">
        <f t="shared" si="10"/>
        <v>20.445269714656337</v>
      </c>
      <c r="G121">
        <f t="shared" si="11"/>
        <v>20.776642642797931</v>
      </c>
    </row>
    <row r="122" spans="1:7">
      <c r="A122">
        <v>109</v>
      </c>
      <c r="B122">
        <f t="shared" si="6"/>
        <v>15.067806794117361</v>
      </c>
      <c r="C122">
        <f t="shared" si="7"/>
        <v>13.587436661761593</v>
      </c>
      <c r="D122">
        <f t="shared" si="8"/>
        <v>17.280100852000842</v>
      </c>
      <c r="E122">
        <f t="shared" si="9"/>
        <v>16.341228875161406</v>
      </c>
      <c r="F122">
        <f t="shared" si="10"/>
        <v>20.530925550773368</v>
      </c>
      <c r="G122">
        <f t="shared" si="11"/>
        <v>20.917446155653654</v>
      </c>
    </row>
    <row r="123" spans="1:7">
      <c r="A123">
        <v>110</v>
      </c>
      <c r="B123">
        <f t="shared" si="6"/>
        <v>15.158887496512456</v>
      </c>
      <c r="C123">
        <f t="shared" si="7"/>
        <v>13.652105403926617</v>
      </c>
      <c r="D123">
        <f t="shared" si="8"/>
        <v>17.383450880969143</v>
      </c>
      <c r="E123">
        <f t="shared" si="9"/>
        <v>16.442404940176687</v>
      </c>
      <c r="F123">
        <f t="shared" si="10"/>
        <v>20.616153082141281</v>
      </c>
      <c r="G123">
        <f t="shared" si="11"/>
        <v>21.057904949149648</v>
      </c>
    </row>
    <row r="124" spans="1:7">
      <c r="A124">
        <v>111</v>
      </c>
      <c r="B124">
        <f t="shared" si="6"/>
        <v>15.24968702429862</v>
      </c>
      <c r="C124">
        <f t="shared" si="7"/>
        <v>13.71649251838439</v>
      </c>
      <c r="D124">
        <f t="shared" si="8"/>
        <v>17.486475349175642</v>
      </c>
      <c r="E124">
        <f t="shared" si="9"/>
        <v>16.543283310169411</v>
      </c>
      <c r="F124">
        <f t="shared" si="10"/>
        <v>20.700958315143573</v>
      </c>
      <c r="G124">
        <f t="shared" si="11"/>
        <v>21.198022989681018</v>
      </c>
    </row>
    <row r="125" spans="1:7">
      <c r="A125">
        <v>112</v>
      </c>
      <c r="B125">
        <f t="shared" si="6"/>
        <v>15.340208766986114</v>
      </c>
      <c r="C125">
        <f t="shared" si="7"/>
        <v>13.780601752366492</v>
      </c>
      <c r="D125">
        <f t="shared" si="8"/>
        <v>17.589178201427941</v>
      </c>
      <c r="E125">
        <f t="shared" si="9"/>
        <v>16.643867531289338</v>
      </c>
      <c r="F125">
        <f t="shared" si="10"/>
        <v>20.78534711870812</v>
      </c>
      <c r="G125">
        <f t="shared" si="11"/>
        <v>21.337804162723423</v>
      </c>
    </row>
    <row r="126" spans="1:7">
      <c r="A126">
        <v>113</v>
      </c>
      <c r="B126">
        <f t="shared" si="6"/>
        <v>15.43045604337034</v>
      </c>
      <c r="C126">
        <f t="shared" si="7"/>
        <v>13.844436770301934</v>
      </c>
      <c r="D126">
        <f t="shared" si="8"/>
        <v>17.691563299991877</v>
      </c>
      <c r="E126">
        <f t="shared" si="9"/>
        <v>16.744161076203063</v>
      </c>
      <c r="F126">
        <f t="shared" si="10"/>
        <v>20.869325228649128</v>
      </c>
      <c r="G126">
        <f t="shared" si="11"/>
        <v>21.47725227519075</v>
      </c>
    </row>
    <row r="127" spans="1:7">
      <c r="A127">
        <v>114</v>
      </c>
      <c r="B127">
        <f t="shared" si="6"/>
        <v>15.52043210361901</v>
      </c>
      <c r="C127">
        <f t="shared" si="7"/>
        <v>13.908001156361957</v>
      </c>
      <c r="D127">
        <f t="shared" si="8"/>
        <v>17.793634427032679</v>
      </c>
      <c r="E127">
        <f t="shared" si="9"/>
        <v>16.844167346252696</v>
      </c>
      <c r="F127">
        <f t="shared" si="10"/>
        <v>20.952898251834867</v>
      </c>
      <c r="G127">
        <f t="shared" si="11"/>
        <v>21.61637105770409</v>
      </c>
    </row>
    <row r="128" spans="1:7">
      <c r="A128">
        <v>115</v>
      </c>
      <c r="B128">
        <f t="shared" si="6"/>
        <v>15.610140131280039</v>
      </c>
      <c r="C128">
        <f t="shared" si="7"/>
        <v>13.971298416905011</v>
      </c>
      <c r="D128">
        <f t="shared" si="8"/>
        <v>17.895395286963382</v>
      </c>
      <c r="E128">
        <f t="shared" si="9"/>
        <v>16.943889673532784</v>
      </c>
      <c r="F128">
        <f t="shared" si="10"/>
        <v>21.036071670189674</v>
      </c>
      <c r="G128">
        <f t="shared" si="11"/>
        <v>21.755164166775749</v>
      </c>
    </row>
    <row r="129" spans="1:7">
      <c r="A129">
        <v>116</v>
      </c>
      <c r="B129">
        <f t="shared" si="6"/>
        <v>15.699583245213651</v>
      </c>
      <c r="C129">
        <f t="shared" si="7"/>
        <v>14.034331982826727</v>
      </c>
      <c r="D129">
        <f t="shared" si="8"/>
        <v>17.996849508704411</v>
      </c>
      <c r="E129">
        <f t="shared" si="9"/>
        <v>17.043331322889237</v>
      </c>
      <c r="F129">
        <f t="shared" si="10"/>
        <v>21.11885084453796</v>
      </c>
      <c r="G129">
        <f t="shared" si="11"/>
        <v>21.893635186912427</v>
      </c>
    </row>
    <row r="130" spans="1:7">
      <c r="A130">
        <v>117</v>
      </c>
      <c r="B130">
        <f t="shared" si="6"/>
        <v>15.788764501452373</v>
      </c>
      <c r="C130">
        <f t="shared" si="7"/>
        <v>14.09710521181923</v>
      </c>
      <c r="D130">
        <f t="shared" si="8"/>
        <v>18.098000647858704</v>
      </c>
      <c r="E130">
        <f t="shared" si="9"/>
        <v>17.142495493843789</v>
      </c>
      <c r="F130">
        <f t="shared" si="10"/>
        <v>21.201241018297956</v>
      </c>
      <c r="G130">
        <f t="shared" si="11"/>
        <v>22.031787632640945</v>
      </c>
    </row>
    <row r="131" spans="1:7">
      <c r="A131">
        <v>118</v>
      </c>
      <c r="B131">
        <f t="shared" si="6"/>
        <v>15.877686894992101</v>
      </c>
      <c r="C131">
        <f t="shared" si="7"/>
        <v>14.159621390544183</v>
      </c>
      <c r="D131">
        <f t="shared" si="8"/>
        <v>18.198852188806107</v>
      </c>
      <c r="E131">
        <f t="shared" si="9"/>
        <v>17.241385322447442</v>
      </c>
      <c r="F131">
        <f t="shared" si="10"/>
        <v>21.283247321032341</v>
      </c>
      <c r="G131">
        <f t="shared" si="11"/>
        <v>22.169624950460339</v>
      </c>
    </row>
    <row r="132" spans="1:7">
      <c r="A132">
        <v>119</v>
      </c>
      <c r="B132">
        <f t="shared" si="6"/>
        <v>15.966353361517383</v>
      </c>
      <c r="C132">
        <f t="shared" si="7"/>
        <v>14.221883736723454</v>
      </c>
      <c r="D132">
        <f t="shared" si="8"/>
        <v>18.299407546720701</v>
      </c>
      <c r="E132">
        <f t="shared" si="9"/>
        <v>17.340003883066171</v>
      </c>
      <c r="F132">
        <f t="shared" si="10"/>
        <v>21.364874771862226</v>
      </c>
      <c r="G132">
        <f t="shared" si="11"/>
        <v>22.307150520723326</v>
      </c>
    </row>
    <row r="133" spans="1:7">
      <c r="A133">
        <v>120</v>
      </c>
      <c r="B133">
        <f t="shared" si="6"/>
        <v>16.05476677906389</v>
      </c>
      <c r="C133">
        <f t="shared" si="7"/>
        <v>14.283895401151247</v>
      </c>
      <c r="D133">
        <f t="shared" si="8"/>
        <v>18.39967006951461</v>
      </c>
      <c r="E133">
        <f t="shared" si="9"/>
        <v>17.438354190101677</v>
      </c>
      <c r="F133">
        <f t="shared" si="10"/>
        <v>21.446128282751129</v>
      </c>
      <c r="G133">
        <f t="shared" si="11"/>
        <v>22.444367659450432</v>
      </c>
    </row>
    <row r="134" spans="1:7">
      <c r="A134">
        <v>121</v>
      </c>
      <c r="B134">
        <f t="shared" si="6"/>
        <v>16.142929969620798</v>
      </c>
      <c r="C134">
        <f t="shared" si="7"/>
        <v>14.345659469631252</v>
      </c>
      <c r="D134">
        <f t="shared" si="8"/>
        <v>18.499643039711444</v>
      </c>
      <c r="E134">
        <f t="shared" si="9"/>
        <v>17.536439199650367</v>
      </c>
      <c r="F134">
        <f t="shared" si="10"/>
        <v>21.52701266166477</v>
      </c>
      <c r="G134">
        <f t="shared" si="11"/>
        <v>22.581279620079684</v>
      </c>
    </row>
    <row r="135" spans="1:7">
      <c r="A135">
        <v>122</v>
      </c>
      <c r="B135">
        <f t="shared" si="6"/>
        <v>16.230845700675815</v>
      </c>
      <c r="C135">
        <f t="shared" si="7"/>
        <v>14.407178964842197</v>
      </c>
      <c r="D135">
        <f t="shared" si="8"/>
        <v>18.599329676252459</v>
      </c>
      <c r="E135">
        <f t="shared" si="9"/>
        <v>17.634261811102999</v>
      </c>
      <c r="F135">
        <f t="shared" si="10"/>
        <v>21.607532615612339</v>
      </c>
      <c r="G135">
        <f t="shared" si="11"/>
        <v>22.717889595154567</v>
      </c>
    </row>
    <row r="136" spans="1:7">
      <c r="A136">
        <v>123</v>
      </c>
      <c r="B136">
        <f t="shared" si="6"/>
        <v>16.318516686705269</v>
      </c>
      <c r="C136">
        <f t="shared" si="7"/>
        <v>14.468456848135046</v>
      </c>
      <c r="D136">
        <f t="shared" si="8"/>
        <v>18.698733136238609</v>
      </c>
      <c r="E136">
        <f t="shared" si="9"/>
        <v>17.731824868687742</v>
      </c>
      <c r="F136">
        <f t="shared" si="10"/>
        <v>21.687692753574773</v>
      </c>
      <c r="G136">
        <f t="shared" si="11"/>
        <v>22.854200717953134</v>
      </c>
    </row>
    <row r="137" spans="1:7">
      <c r="A137">
        <v>124</v>
      </c>
      <c r="B137">
        <f t="shared" si="6"/>
        <v>16.405945590611779</v>
      </c>
      <c r="C137">
        <f t="shared" si="7"/>
        <v>14.529496021264876</v>
      </c>
      <c r="D137">
        <f t="shared" si="8"/>
        <v>18.797856516611027</v>
      </c>
      <c r="E137">
        <f t="shared" si="9"/>
        <v>17.829131162959161</v>
      </c>
      <c r="F137">
        <f t="shared" si="10"/>
        <v>21.767497589324979</v>
      </c>
      <c r="G137">
        <f t="shared" si="11"/>
        <v>22.990216064060622</v>
      </c>
    </row>
    <row r="138" spans="1:7">
      <c r="A138">
        <v>125</v>
      </c>
      <c r="B138">
        <f t="shared" si="6"/>
        <v>16.493135025111521</v>
      </c>
      <c r="C138">
        <f t="shared" si="7"/>
        <v>14.590299328060199</v>
      </c>
      <c r="D138">
        <f t="shared" si="8"/>
        <v>18.896702855772567</v>
      </c>
      <c r="E138">
        <f t="shared" si="9"/>
        <v>17.926183432235103</v>
      </c>
      <c r="F138">
        <f t="shared" si="10"/>
        <v>21.846951544144879</v>
      </c>
      <c r="G138">
        <f t="shared" si="11"/>
        <v>23.125938652887879</v>
      </c>
    </row>
    <row r="139" spans="1:7">
      <c r="A139">
        <v>126</v>
      </c>
      <c r="B139">
        <f t="shared" si="6"/>
        <v>16.580087554073554</v>
      </c>
      <c r="C139">
        <f t="shared" si="7"/>
        <v>14.650869556032735</v>
      </c>
      <c r="D139">
        <f t="shared" si="8"/>
        <v>18.995275135153268</v>
      </c>
      <c r="E139">
        <f t="shared" si="9"/>
        <v>18.022984363984204</v>
      </c>
      <c r="F139">
        <f t="shared" si="10"/>
        <v>21.926058949443863</v>
      </c>
      <c r="G139">
        <f t="shared" si="11"/>
        <v>23.261371449138196</v>
      </c>
    </row>
    <row r="140" spans="1:7">
      <c r="A140">
        <v>127</v>
      </c>
      <c r="B140">
        <f t="shared" si="6"/>
        <v>16.666805693812986</v>
      </c>
      <c r="C140">
        <f t="shared" si="7"/>
        <v>14.711209437929913</v>
      </c>
      <c r="D140">
        <f t="shared" si="8"/>
        <v>19.093576280721681</v>
      </c>
      <c r="E140">
        <f t="shared" si="9"/>
        <v>18.119536596165695</v>
      </c>
      <c r="F140">
        <f t="shared" si="10"/>
        <v>22.004824049282966</v>
      </c>
      <c r="G140">
        <f t="shared" si="11"/>
        <v>23.396517364224419</v>
      </c>
    </row>
    <row r="141" spans="1:7">
      <c r="A141">
        <v>128</v>
      </c>
      <c r="B141">
        <f t="shared" si="6"/>
        <v>16.753291914339997</v>
      </c>
      <c r="C141">
        <f t="shared" si="7"/>
        <v>14.771321653232755</v>
      </c>
      <c r="D141">
        <f t="shared" si="8"/>
        <v>19.191609164444607</v>
      </c>
      <c r="E141">
        <f t="shared" si="9"/>
        <v>18.215842718523646</v>
      </c>
      <c r="F141">
        <f t="shared" si="10"/>
        <v>22.083251002808822</v>
      </c>
      <c r="G141">
        <f t="shared" si="11"/>
        <v>23.531379257638477</v>
      </c>
    </row>
    <row r="142" spans="1:7">
      <c r="A142">
        <v>129</v>
      </c>
      <c r="B142">
        <f t="shared" ref="B142:B205" si="12">EXP($B$4+$C$4*LN(A142))</f>
        <v>16.839548640566584</v>
      </c>
      <c r="C142">
        <f t="shared" ref="C142:C205" si="13">EXP($B$5+$C$5*LN(A142))</f>
        <v>14.831208829601454</v>
      </c>
      <c r="D142">
        <f t="shared" ref="D142:D205" si="14">EXP($B$6+$C$6*LN(A142))</f>
        <v>19.289376605697321</v>
      </c>
      <c r="E142">
        <f t="shared" ref="E142:E205" si="15">EXP($B$7+$C$7*LN(A142))</f>
        <v>18.311905273837567</v>
      </c>
      <c r="F142">
        <f t="shared" ref="F142:F205" si="16">EXP($B$8+$C$8*LN(A142))</f>
        <v>22.161343886601426</v>
      </c>
      <c r="G142">
        <f t="shared" ref="G142:G205" si="17">EXP($B$9+$C$9*LN(A142))</f>
        <v>23.665959938275332</v>
      </c>
    </row>
    <row r="143" spans="1:7">
      <c r="A143">
        <v>130</v>
      </c>
      <c r="B143">
        <f t="shared" si="12"/>
        <v>16.925578253472782</v>
      </c>
      <c r="C143">
        <f t="shared" si="13"/>
        <v>14.890873544270782</v>
      </c>
      <c r="D143">
        <f t="shared" si="14"/>
        <v>19.386881372626352</v>
      </c>
      <c r="E143">
        <f t="shared" si="15"/>
        <v>18.407726759131158</v>
      </c>
      <c r="F143">
        <f t="shared" si="16"/>
        <v>22.239106696939267</v>
      </c>
      <c r="G143">
        <f t="shared" si="17"/>
        <v>23.800262165713164</v>
      </c>
    </row>
    <row r="144" spans="1:7">
      <c r="A144">
        <v>131</v>
      </c>
      <c r="B144">
        <f t="shared" si="12"/>
        <v>17.01138309123397</v>
      </c>
      <c r="C144">
        <f t="shared" si="13"/>
        <v>14.950318325397559</v>
      </c>
      <c r="D144">
        <f t="shared" si="14"/>
        <v>19.484126183466717</v>
      </c>
      <c r="E144">
        <f t="shared" si="15"/>
        <v>18.503309626840878</v>
      </c>
      <c r="F144">
        <f t="shared" si="16"/>
        <v>22.31654335198542</v>
      </c>
      <c r="G144">
        <f t="shared" si="17"/>
        <v>23.934288651451592</v>
      </c>
    </row>
    <row r="145" spans="1:7">
      <c r="A145">
        <v>132</v>
      </c>
      <c r="B145">
        <f t="shared" si="12"/>
        <v>17.096965450310865</v>
      </c>
      <c r="C145">
        <f t="shared" si="13"/>
        <v>15.009545653362071</v>
      </c>
      <c r="D145">
        <f t="shared" si="14"/>
        <v>19.581113707815536</v>
      </c>
      <c r="E145">
        <f t="shared" si="15"/>
        <v>18.598656285945975</v>
      </c>
      <c r="F145">
        <f t="shared" si="16"/>
        <v>22.393657693897932</v>
      </c>
      <c r="G145">
        <f t="shared" si="17"/>
        <v>24.068042060109587</v>
      </c>
    </row>
    <row r="146" spans="1:7">
      <c r="A146">
        <v>133</v>
      </c>
      <c r="B146">
        <f t="shared" si="12"/>
        <v>17.182327586503774</v>
      </c>
      <c r="C146">
        <f t="shared" si="13"/>
        <v>15.068557962025437</v>
      </c>
      <c r="D146">
        <f t="shared" si="14"/>
        <v>19.677846567863703</v>
      </c>
      <c r="E146">
        <f t="shared" si="15"/>
        <v>18.693769103061573</v>
      </c>
      <c r="F146">
        <f t="shared" si="16"/>
        <v>22.47045349086768</v>
      </c>
      <c r="G146">
        <f t="shared" si="17"/>
        <v>24.201525010584707</v>
      </c>
    </row>
    <row r="147" spans="1:7">
      <c r="A147">
        <v>134</v>
      </c>
      <c r="B147">
        <f t="shared" si="12"/>
        <v>17.267471715972398</v>
      </c>
      <c r="C147">
        <f t="shared" si="13"/>
        <v>15.127357639944639</v>
      </c>
      <c r="D147">
        <f t="shared" si="14"/>
        <v>19.774327339587416</v>
      </c>
      <c r="E147">
        <f t="shared" si="15"/>
        <v>18.788650403496224</v>
      </c>
      <c r="F147">
        <f t="shared" si="16"/>
        <v>22.546934439086677</v>
      </c>
      <c r="G147">
        <f t="shared" si="17"/>
        <v>24.334740077175148</v>
      </c>
    </row>
    <row r="148" spans="1:7">
      <c r="A148">
        <v>135</v>
      </c>
      <c r="B148">
        <f t="shared" si="12"/>
        <v>17.352400016222784</v>
      </c>
      <c r="C148">
        <f t="shared" si="13"/>
        <v>15.185947031547107</v>
      </c>
      <c r="D148">
        <f t="shared" si="14"/>
        <v>19.870558553901095</v>
      </c>
      <c r="E148">
        <f t="shared" si="15"/>
        <v>18.883302472275435</v>
      </c>
      <c r="F148">
        <f t="shared" si="16"/>
        <v>22.62310416464976</v>
      </c>
      <c r="G148">
        <f t="shared" si="17"/>
        <v>24.467689790666121</v>
      </c>
    </row>
    <row r="149" spans="1:7">
      <c r="A149">
        <v>136</v>
      </c>
      <c r="B149">
        <f t="shared" si="12"/>
        <v>17.437114627062396</v>
      </c>
      <c r="C149">
        <f t="shared" si="13"/>
        <v>15.24432843826623</v>
      </c>
      <c r="D149">
        <f t="shared" si="14"/>
        <v>19.966542697773143</v>
      </c>
      <c r="E149">
        <f t="shared" si="15"/>
        <v>18.977727555132361</v>
      </c>
      <c r="F149">
        <f t="shared" si="16"/>
        <v>22.698966225392322</v>
      </c>
      <c r="G149">
        <f t="shared" si="17"/>
        <v>24.60037663938196</v>
      </c>
    </row>
    <row r="150" spans="1:7">
      <c r="A150">
        <v>137</v>
      </c>
      <c r="B150">
        <f t="shared" si="12"/>
        <v>17.521617651524934</v>
      </c>
      <c r="C150">
        <f t="shared" si="13"/>
        <v>15.302504119639696</v>
      </c>
      <c r="D150">
        <f t="shared" si="14"/>
        <v>20.062282215306194</v>
      </c>
      <c r="E150">
        <f t="shared" si="15"/>
        <v>19.071927859467099</v>
      </c>
      <c r="F150">
        <f t="shared" si="16"/>
        <v>22.774524112666789</v>
      </c>
      <c r="G150">
        <f t="shared" si="17"/>
        <v>24.732803070205119</v>
      </c>
    </row>
    <row r="151" spans="1:7">
      <c r="A151">
        <v>138</v>
      </c>
      <c r="B151">
        <f t="shared" si="12"/>
        <v>17.605911156765789</v>
      </c>
      <c r="C151">
        <f t="shared" si="13"/>
        <v>15.360476294371884</v>
      </c>
      <c r="D151">
        <f t="shared" si="14"/>
        <v>20.157779508783044</v>
      </c>
      <c r="E151">
        <f t="shared" si="15"/>
        <v>19.165905555275753</v>
      </c>
      <c r="F151">
        <f t="shared" si="16"/>
        <v>22.849781253060222</v>
      </c>
      <c r="G151">
        <f t="shared" si="17"/>
        <v>24.8649714895637</v>
      </c>
    </row>
    <row r="152" spans="1:7">
      <c r="A152">
        <v>139</v>
      </c>
      <c r="B152">
        <f t="shared" si="12"/>
        <v>17.689997174929331</v>
      </c>
      <c r="C152">
        <f t="shared" si="13"/>
        <v>15.418247141361796</v>
      </c>
      <c r="D152">
        <f t="shared" si="14"/>
        <v>20.253036939679717</v>
      </c>
      <c r="E152">
        <f t="shared" si="15"/>
        <v>19.259662776050334</v>
      </c>
      <c r="F152">
        <f t="shared" si="16"/>
        <v>22.924741010055428</v>
      </c>
      <c r="G152">
        <f t="shared" si="17"/>
        <v>24.996884264388115</v>
      </c>
    </row>
    <row r="153" spans="1:7">
      <c r="A153">
        <v>140</v>
      </c>
      <c r="B153">
        <f t="shared" si="12"/>
        <v>17.773877703989299</v>
      </c>
      <c r="C153">
        <f t="shared" si="13"/>
        <v>15.475818800698018</v>
      </c>
      <c r="D153">
        <f t="shared" si="14"/>
        <v>20.348056829646904</v>
      </c>
      <c r="E153">
        <f t="shared" si="15"/>
        <v>19.353201619650815</v>
      </c>
      <c r="F153">
        <f t="shared" si="16"/>
        <v>22.999406685637886</v>
      </c>
      <c r="G153">
        <f t="shared" si="17"/>
        <v>25.128543723038831</v>
      </c>
    </row>
    <row r="154" spans="1:7">
      <c r="A154">
        <v>141</v>
      </c>
      <c r="B154">
        <f t="shared" si="12"/>
        <v>17.857554708563008</v>
      </c>
      <c r="C154">
        <f t="shared" si="13"/>
        <v>15.533193374621799</v>
      </c>
      <c r="D154">
        <f t="shared" si="14"/>
        <v>20.442841461460901</v>
      </c>
      <c r="E154">
        <f t="shared" si="15"/>
        <v>19.446524149150175</v>
      </c>
      <c r="F154">
        <f t="shared" si="16"/>
        <v>23.073781521850567</v>
      </c>
      <c r="G154">
        <f t="shared" si="17"/>
        <v>25.259952156205514</v>
      </c>
    </row>
    <row r="155" spans="1:7">
      <c r="A155">
        <v>142</v>
      </c>
      <c r="B155">
        <f t="shared" si="12"/>
        <v>17.941030120700578</v>
      </c>
      <c r="C155">
        <f t="shared" si="13"/>
        <v>15.590372928459614</v>
      </c>
      <c r="D155">
        <f t="shared" si="14"/>
        <v>20.537393079945286</v>
      </c>
      <c r="E155">
        <f t="shared" si="15"/>
        <v>19.539632393653573</v>
      </c>
      <c r="F155">
        <f t="shared" si="16"/>
        <v>23.147868702298684</v>
      </c>
      <c r="G155">
        <f t="shared" si="17"/>
        <v>25.391111817779091</v>
      </c>
    </row>
    <row r="156" spans="1:7">
      <c r="A156">
        <v>143</v>
      </c>
      <c r="B156">
        <f t="shared" si="12"/>
        <v>18.024305840650136</v>
      </c>
      <c r="C156">
        <f t="shared" si="13"/>
        <v>15.647359491526373</v>
      </c>
      <c r="D156">
        <f t="shared" si="14"/>
        <v>20.631713892864489</v>
      </c>
      <c r="E156">
        <f t="shared" si="15"/>
        <v>19.632528349092702</v>
      </c>
      <c r="F156">
        <f t="shared" si="16"/>
        <v>23.221671353606443</v>
      </c>
      <c r="G156">
        <f t="shared" si="17"/>
        <v>25.522024925697792</v>
      </c>
    </row>
    <row r="157" spans="1:7">
      <c r="A157">
        <v>144</v>
      </c>
      <c r="B157">
        <f t="shared" si="12"/>
        <v>18.107383737599765</v>
      </c>
      <c r="C157">
        <f t="shared" si="13"/>
        <v>15.704155058000364</v>
      </c>
      <c r="D157">
        <f t="shared" si="14"/>
        <v>20.725806071790149</v>
      </c>
      <c r="E157">
        <f t="shared" si="15"/>
        <v>19.725213978996056</v>
      </c>
      <c r="F157">
        <f t="shared" si="16"/>
        <v>23.295192546827487</v>
      </c>
      <c r="G157">
        <f t="shared" si="17"/>
        <v>25.652693662767749</v>
      </c>
    </row>
    <row r="158" spans="1:7">
      <c r="A158">
        <v>145</v>
      </c>
      <c r="B158">
        <f t="shared" si="12"/>
        <v>18.190265650397031</v>
      </c>
      <c r="C158">
        <f t="shared" si="13"/>
        <v>15.760761587770988</v>
      </c>
      <c r="D158">
        <f t="shared" si="14"/>
        <v>20.819671752941304</v>
      </c>
      <c r="E158">
        <f t="shared" si="15"/>
        <v>19.817691215236071</v>
      </c>
      <c r="F158">
        <f t="shared" si="16"/>
        <v>23.368435298810859</v>
      </c>
      <c r="G158">
        <f t="shared" si="17"/>
        <v>25.783120177459349</v>
      </c>
    </row>
    <row r="159" spans="1:7">
      <c r="A159">
        <v>146</v>
      </c>
      <c r="B159">
        <f t="shared" si="12"/>
        <v>18.272953388247188</v>
      </c>
      <c r="C159">
        <f t="shared" si="13"/>
        <v>15.817181007260414</v>
      </c>
      <c r="D159">
        <f t="shared" si="14"/>
        <v>20.913313037999597</v>
      </c>
      <c r="E159">
        <f t="shared" si="15"/>
        <v>19.909961958754089</v>
      </c>
      <c r="F159">
        <f t="shared" si="16"/>
        <v>23.441402573524396</v>
      </c>
      <c r="G159">
        <f t="shared" si="17"/>
        <v>25.913306584680292</v>
      </c>
    </row>
    <row r="160" spans="1:7">
      <c r="A160">
        <v>147</v>
      </c>
      <c r="B160">
        <f t="shared" si="12"/>
        <v>18.355448731390492</v>
      </c>
      <c r="C160">
        <f t="shared" si="13"/>
        <v>15.873415210219994</v>
      </c>
      <c r="D160">
        <f t="shared" si="14"/>
        <v>21.006731994900051</v>
      </c>
      <c r="E160">
        <f t="shared" si="15"/>
        <v>20.002028080263845</v>
      </c>
      <c r="F160">
        <f t="shared" si="16"/>
        <v>23.514097283336746</v>
      </c>
      <c r="G160">
        <f t="shared" si="17"/>
        <v>26.043254966525925</v>
      </c>
    </row>
    <row r="161" spans="1:7">
      <c r="A161">
        <v>148</v>
      </c>
      <c r="B161">
        <f t="shared" si="12"/>
        <v>18.437753431759617</v>
      </c>
      <c r="C161">
        <f t="shared" si="13"/>
        <v>15.929466058502483</v>
      </c>
      <c r="D161">
        <f t="shared" si="14"/>
        <v>21.099930658598584</v>
      </c>
      <c r="E161">
        <f t="shared" si="15"/>
        <v>20.093891420934252</v>
      </c>
      <c r="F161">
        <f t="shared" si="16"/>
        <v>23.586522290259985</v>
      </c>
      <c r="G161">
        <f t="shared" si="17"/>
        <v>26.172967373007932</v>
      </c>
    </row>
    <row r="162" spans="1:7">
      <c r="A162">
        <v>149</v>
      </c>
      <c r="B162">
        <f t="shared" si="12"/>
        <v>18.519869213617756</v>
      </c>
      <c r="C162">
        <f t="shared" si="13"/>
        <v>15.985335382810906</v>
      </c>
      <c r="D162">
        <f t="shared" si="14"/>
        <v>21.192911031816994</v>
      </c>
      <c r="E162">
        <f t="shared" si="15"/>
        <v>20.185553793052296</v>
      </c>
      <c r="F162">
        <f t="shared" si="16"/>
        <v>23.658680407154097</v>
      </c>
      <c r="G162">
        <f t="shared" si="17"/>
        <v>26.302445822761932</v>
      </c>
    </row>
    <row r="163" spans="1:7">
      <c r="A163">
        <v>150</v>
      </c>
      <c r="B163">
        <f t="shared" si="12"/>
        <v>18.601797774178237</v>
      </c>
      <c r="C163">
        <f t="shared" si="13"/>
        <v>16.041024983424943</v>
      </c>
      <c r="D163">
        <f t="shared" si="14"/>
        <v>21.285675085766186</v>
      </c>
      <c r="E163">
        <f t="shared" si="15"/>
        <v>20.277016980666655</v>
      </c>
      <c r="F163">
        <f t="shared" si="16"/>
        <v>23.730574398894671</v>
      </c>
      <c r="G163">
        <f t="shared" si="17"/>
        <v>26.431692303734884</v>
      </c>
    </row>
    <row r="164" spans="1:7">
      <c r="A164">
        <v>151</v>
      </c>
      <c r="B164">
        <f t="shared" si="12"/>
        <v>18.683540784206151</v>
      </c>
      <c r="C164">
        <f t="shared" si="13"/>
        <v>16.096536630905661</v>
      </c>
      <c r="D164">
        <f t="shared" si="14"/>
        <v>21.378224760848592</v>
      </c>
      <c r="E164">
        <f t="shared" si="15"/>
        <v>20.368282740212905</v>
      </c>
      <c r="F164">
        <f t="shared" si="16"/>
        <v>23.802206983505393</v>
      </c>
      <c r="G164">
        <f t="shared" si="17"/>
        <v>26.560708773853015</v>
      </c>
    </row>
    <row r="165" spans="1:7">
      <c r="A165">
        <v>152</v>
      </c>
      <c r="B165">
        <f t="shared" si="12"/>
        <v>18.765099888602784</v>
      </c>
      <c r="C165">
        <f t="shared" si="13"/>
        <v>16.151872066779372</v>
      </c>
      <c r="D165">
        <f t="shared" si="14"/>
        <v>21.470561967340178</v>
      </c>
      <c r="E165">
        <f t="shared" si="15"/>
        <v>20.459352801120694</v>
      </c>
      <c r="F165">
        <f t="shared" si="16"/>
        <v>23.873580833256469</v>
      </c>
      <c r="G165">
        <f t="shared" si="17"/>
        <v>26.689497161670701</v>
      </c>
    </row>
    <row r="166" spans="1:7">
      <c r="A166">
        <v>153</v>
      </c>
      <c r="B166">
        <f t="shared" si="12"/>
        <v>18.846476706973277</v>
      </c>
      <c r="C166">
        <f t="shared" si="13"/>
        <v>16.207033004201346</v>
      </c>
      <c r="D166">
        <f t="shared" si="14"/>
        <v>21.562688586053198</v>
      </c>
      <c r="E166">
        <f t="shared" si="15"/>
        <v>20.550228866403756</v>
      </c>
      <c r="F166">
        <f t="shared" si="16"/>
        <v>23.94469857573015</v>
      </c>
      <c r="G166">
        <f t="shared" si="17"/>
        <v>26.81805936700135</v>
      </c>
    </row>
    <row r="167" spans="1:7">
      <c r="A167">
        <v>154</v>
      </c>
      <c r="B167">
        <f t="shared" si="12"/>
        <v>18.927672834178306</v>
      </c>
      <c r="C167">
        <f t="shared" si="13"/>
        <v>16.262021128600153</v>
      </c>
      <c r="D167">
        <f t="shared" si="14"/>
        <v>21.654606468979996</v>
      </c>
      <c r="E167">
        <f t="shared" si="15"/>
        <v>20.640912613233258</v>
      </c>
      <c r="F167">
        <f t="shared" si="16"/>
        <v>24.015562794854855</v>
      </c>
      <c r="G167">
        <f t="shared" si="17"/>
        <v>26.946397261530638</v>
      </c>
    </row>
    <row r="168" spans="1:7">
      <c r="A168">
        <v>155</v>
      </c>
      <c r="B168">
        <f t="shared" si="12"/>
        <v>19.008689840870154</v>
      </c>
      <c r="C168">
        <f t="shared" si="13"/>
        <v>16.316838098303243</v>
      </c>
      <c r="D168">
        <f t="shared" si="14"/>
        <v>21.746317439918645</v>
      </c>
      <c r="E168">
        <f t="shared" si="15"/>
        <v>20.731405693494981</v>
      </c>
      <c r="F168">
        <f t="shared" si="16"/>
        <v>24.086176031908575</v>
      </c>
      <c r="G168">
        <f t="shared" si="17"/>
        <v>27.074512689412636</v>
      </c>
    </row>
    <row r="169" spans="1:7">
      <c r="A169">
        <v>156</v>
      </c>
      <c r="B169">
        <f t="shared" si="12"/>
        <v>19.089529274013856</v>
      </c>
      <c r="C169">
        <f t="shared" si="13"/>
        <v>16.371485545144509</v>
      </c>
      <c r="D169">
        <f t="shared" si="14"/>
        <v>21.837823295081197</v>
      </c>
      <c r="E169">
        <f t="shared" si="15"/>
        <v>20.821709734331108</v>
      </c>
      <c r="F169">
        <f t="shared" si="16"/>
        <v>24.156540786493089</v>
      </c>
      <c r="G169">
        <f t="shared" si="17"/>
        <v>27.202407467849806</v>
      </c>
    </row>
    <row r="170" spans="1:7">
      <c r="A170">
        <v>157</v>
      </c>
      <c r="B170">
        <f t="shared" si="12"/>
        <v>19.170192657393809</v>
      </c>
      <c r="C170">
        <f t="shared" si="13"/>
        <v>16.425965075054442</v>
      </c>
      <c r="D170">
        <f t="shared" si="14"/>
        <v>21.929125803684837</v>
      </c>
      <c r="E170">
        <f t="shared" si="15"/>
        <v>20.91182633866692</v>
      </c>
      <c r="F170">
        <f t="shared" si="16"/>
        <v>24.226659517479774</v>
      </c>
      <c r="G170">
        <f t="shared" si="17"/>
        <v>27.330083387656884</v>
      </c>
    </row>
    <row r="171" spans="1:7">
      <c r="A171">
        <v>158</v>
      </c>
      <c r="B171">
        <f t="shared" si="12"/>
        <v>19.250681492106395</v>
      </c>
      <c r="C171">
        <f t="shared" si="13"/>
        <v>16.480278268633402</v>
      </c>
      <c r="D171">
        <f t="shared" si="14"/>
        <v>22.020226708526788</v>
      </c>
      <c r="E171">
        <f t="shared" si="15"/>
        <v>21.00175708572301</v>
      </c>
      <c r="F171">
        <f t="shared" si="16"/>
        <v>24.29653464392803</v>
      </c>
      <c r="G171">
        <f t="shared" si="17"/>
        <v>27.457542213809589</v>
      </c>
    </row>
    <row r="172" spans="1:7">
      <c r="A172">
        <v>159</v>
      </c>
      <c r="B172">
        <f t="shared" si="12"/>
        <v>19.33099725703909</v>
      </c>
      <c r="C172">
        <f t="shared" si="13"/>
        <v>16.534426681708709</v>
      </c>
      <c r="D172">
        <f t="shared" si="14"/>
        <v>22.111127726543362</v>
      </c>
      <c r="E172">
        <f t="shared" si="15"/>
        <v>21.091503531513485</v>
      </c>
      <c r="F172">
        <f t="shared" si="16"/>
        <v>24.366168545977327</v>
      </c>
      <c r="G172">
        <f t="shared" si="17"/>
        <v>27.584785685978488</v>
      </c>
    </row>
    <row r="173" spans="1:7">
      <c r="A173">
        <v>160</v>
      </c>
      <c r="B173">
        <f t="shared" si="12"/>
        <v>19.411141409336558</v>
      </c>
      <c r="C173">
        <f t="shared" si="13"/>
        <v>16.588411845876099</v>
      </c>
      <c r="D173">
        <f t="shared" si="14"/>
        <v>22.201830549353808</v>
      </c>
      <c r="E173">
        <f t="shared" si="15"/>
        <v>21.181067209330685</v>
      </c>
      <c r="F173">
        <f t="shared" si="16"/>
        <v>24.435563565713899</v>
      </c>
      <c r="G173">
        <f t="shared" si="17"/>
        <v>27.711815519048553</v>
      </c>
    </row>
    <row r="174" spans="1:7">
      <c r="A174">
        <v>161</v>
      </c>
      <c r="B174">
        <f t="shared" si="12"/>
        <v>19.491115384854062</v>
      </c>
      <c r="C174">
        <f t="shared" si="13"/>
        <v>16.642235269025935</v>
      </c>
      <c r="D174">
        <f t="shared" si="14"/>
        <v>22.292336843789379</v>
      </c>
      <c r="E174">
        <f t="shared" si="15"/>
        <v>21.270449630216781</v>
      </c>
      <c r="F174">
        <f t="shared" si="16"/>
        <v>24.504722008012763</v>
      </c>
      <c r="G174">
        <f t="shared" si="17"/>
        <v>27.838633403624911</v>
      </c>
    </row>
    <row r="175" spans="1:7">
      <c r="A175">
        <v>162</v>
      </c>
      <c r="B175">
        <f t="shared" si="12"/>
        <v>19.570920598598608</v>
      </c>
      <c r="C175">
        <f t="shared" si="13"/>
        <v>16.695898435854893</v>
      </c>
      <c r="D175">
        <f t="shared" si="14"/>
        <v>22.382648252407979</v>
      </c>
      <c r="E175">
        <f t="shared" si="15"/>
        <v>21.359652283422648</v>
      </c>
      <c r="F175">
        <f t="shared" si="16"/>
        <v>24.573646141355891</v>
      </c>
      <c r="G175">
        <f t="shared" si="17"/>
        <v>27.965241006525041</v>
      </c>
    </row>
    <row r="176" spans="1:7">
      <c r="A176">
        <v>163</v>
      </c>
      <c r="B176">
        <f t="shared" si="12"/>
        <v>19.650558445158506</v>
      </c>
      <c r="C176">
        <f t="shared" si="13"/>
        <v>16.74940280836347</v>
      </c>
      <c r="D176">
        <f t="shared" si="14"/>
        <v>22.472766393995329</v>
      </c>
      <c r="E176">
        <f t="shared" si="15"/>
        <v>21.448676636854696</v>
      </c>
      <c r="F176">
        <f t="shared" si="16"/>
        <v>24.642338198627755</v>
      </c>
      <c r="G176">
        <f t="shared" si="17"/>
        <v>28.091639971258324</v>
      </c>
    </row>
    <row r="177" spans="1:7">
      <c r="A177">
        <v>164</v>
      </c>
      <c r="B177">
        <f t="shared" si="12"/>
        <v>19.730030299121164</v>
      </c>
      <c r="C177">
        <f t="shared" si="13"/>
        <v>16.802749826339856</v>
      </c>
      <c r="D177">
        <f t="shared" si="14"/>
        <v>22.562692864052458</v>
      </c>
      <c r="E177">
        <f t="shared" si="15"/>
        <v>21.5375241375096</v>
      </c>
      <c r="F177">
        <f t="shared" si="16"/>
        <v>24.710800377888383</v>
      </c>
      <c r="G177">
        <f t="shared" si="17"/>
        <v>28.217831918492653</v>
      </c>
    </row>
    <row r="178" spans="1:7">
      <c r="A178">
        <v>165</v>
      </c>
      <c r="B178">
        <f t="shared" si="12"/>
        <v>19.809337515480159</v>
      </c>
      <c r="C178">
        <f t="shared" si="13"/>
        <v>16.855940907830568</v>
      </c>
      <c r="D178">
        <f t="shared" si="14"/>
        <v>22.652429235270475</v>
      </c>
      <c r="E178">
        <f t="shared" si="15"/>
        <v>21.626196211897806</v>
      </c>
      <c r="F178">
        <f t="shared" si="16"/>
        <v>24.779034843125281</v>
      </c>
      <c r="G178">
        <f t="shared" si="17"/>
        <v>28.343818446509232</v>
      </c>
    </row>
    <row r="179" spans="1:7">
      <c r="A179">
        <v>166</v>
      </c>
      <c r="B179">
        <f t="shared" si="12"/>
        <v>19.888481430031444</v>
      </c>
      <c r="C179">
        <f t="shared" si="13"/>
        <v>16.908977449598453</v>
      </c>
      <c r="D179">
        <f t="shared" si="14"/>
        <v>22.741977057992823</v>
      </c>
      <c r="E179">
        <f t="shared" si="15"/>
        <v>21.714694266455847</v>
      </c>
      <c r="F179">
        <f t="shared" si="16"/>
        <v>24.847043724984552</v>
      </c>
      <c r="G179">
        <f t="shared" si="17"/>
        <v>28.469601131645554</v>
      </c>
    </row>
    <row r="180" spans="1:7">
      <c r="A180">
        <v>167</v>
      </c>
      <c r="B180">
        <f t="shared" si="12"/>
        <v>19.967463359759183</v>
      </c>
      <c r="C180">
        <f t="shared" si="13"/>
        <v>16.961860827568085</v>
      </c>
      <c r="D180">
        <f t="shared" si="14"/>
        <v>22.831337860665336</v>
      </c>
      <c r="E180">
        <f t="shared" si="15"/>
        <v>21.803019687947849</v>
      </c>
      <c r="F180">
        <f t="shared" si="16"/>
        <v>24.914829121481954</v>
      </c>
      <c r="G180">
        <f t="shared" si="17"/>
        <v>28.595181528726815</v>
      </c>
    </row>
    <row r="181" spans="1:7">
      <c r="A181">
        <v>168</v>
      </c>
      <c r="B181">
        <f t="shared" si="12"/>
        <v>20.046284603211685</v>
      </c>
      <c r="C181">
        <f t="shared" si="13"/>
        <v>17.014592397259566</v>
      </c>
      <c r="D181">
        <f t="shared" si="14"/>
        <v>22.920513150274765</v>
      </c>
      <c r="E181">
        <f t="shared" si="15"/>
        <v>21.891173843856862</v>
      </c>
      <c r="F181">
        <f t="shared" si="16"/>
        <v>24.982393098694825</v>
      </c>
      <c r="G181">
        <f t="shared" si="17"/>
        <v>28.720561171486551</v>
      </c>
    </row>
    <row r="182" spans="1:7">
      <c r="A182">
        <v>169</v>
      </c>
      <c r="B182">
        <f t="shared" si="12"/>
        <v>20.124946440867596</v>
      </c>
      <c r="C182">
        <f t="shared" si="13"/>
        <v>17.067173494210515</v>
      </c>
      <c r="D182">
        <f t="shared" si="14"/>
        <v>23.009504412775815</v>
      </c>
      <c r="E182">
        <f t="shared" si="15"/>
        <v>21.979158082765935</v>
      </c>
      <c r="F182">
        <f t="shared" si="16"/>
        <v>25.049737691435183</v>
      </c>
      <c r="G182">
        <f t="shared" si="17"/>
        <v>28.845741572976518</v>
      </c>
    </row>
    <row r="183" spans="1:7">
      <c r="A183">
        <v>170</v>
      </c>
      <c r="B183">
        <f t="shared" si="12"/>
        <v>20.203450135492577</v>
      </c>
      <c r="C183">
        <f t="shared" si="13"/>
        <v>17.119605434386969</v>
      </c>
      <c r="D183">
        <f t="shared" si="14"/>
        <v>23.098313113507274</v>
      </c>
      <c r="E183">
        <f t="shared" si="15"/>
        <v>22.06697373472953</v>
      </c>
      <c r="F183">
        <f t="shared" si="16"/>
        <v>25.116864903904702</v>
      </c>
      <c r="G183">
        <f t="shared" si="17"/>
        <v>28.970724225966144</v>
      </c>
    </row>
    <row r="184" spans="1:7">
      <c r="A184">
        <v>171</v>
      </c>
      <c r="B184">
        <f t="shared" si="12"/>
        <v>20.281796932487062</v>
      </c>
      <c r="C184">
        <f t="shared" si="13"/>
        <v>17.171889514583519</v>
      </c>
      <c r="D184">
        <f t="shared" si="14"/>
        <v>23.186940697597496</v>
      </c>
      <c r="E184">
        <f t="shared" si="15"/>
        <v>22.154622111635483</v>
      </c>
      <c r="F184">
        <f t="shared" si="16"/>
        <v>25.183776710332317</v>
      </c>
      <c r="G184">
        <f t="shared" si="17"/>
        <v>29.095510603332038</v>
      </c>
    </row>
    <row r="185" spans="1:7">
      <c r="A185">
        <v>172</v>
      </c>
      <c r="B185">
        <f t="shared" si="12"/>
        <v>20.359988060225088</v>
      </c>
      <c r="C185">
        <f t="shared" si="13"/>
        <v>17.224027012812893</v>
      </c>
      <c r="D185">
        <f t="shared" si="14"/>
        <v>23.275388590359604</v>
      </c>
      <c r="E185">
        <f t="shared" si="15"/>
        <v>22.242104507557826</v>
      </c>
      <c r="F185">
        <f t="shared" si="16"/>
        <v>25.250475055594837</v>
      </c>
      <c r="G185">
        <f t="shared" si="17"/>
        <v>29.220102158437829</v>
      </c>
    </row>
    <row r="186" spans="1:7">
      <c r="A186">
        <v>173</v>
      </c>
      <c r="B186">
        <f t="shared" si="12"/>
        <v>20.438024730384669</v>
      </c>
      <c r="C186">
        <f t="shared" si="13"/>
        <v>17.276019188685524</v>
      </c>
      <c r="D186">
        <f t="shared" si="14"/>
        <v>23.363658197676774</v>
      </c>
      <c r="E186">
        <f t="shared" si="15"/>
        <v>22.329422199100808</v>
      </c>
      <c r="F186">
        <f t="shared" si="16"/>
        <v>25.316961855821269</v>
      </c>
      <c r="G186">
        <f t="shared" si="17"/>
        <v>29.344500325504548</v>
      </c>
    </row>
    <row r="187" spans="1:7">
      <c r="A187">
        <v>174</v>
      </c>
      <c r="B187">
        <f t="shared" si="12"/>
        <v>20.515908138269698</v>
      </c>
      <c r="C187">
        <f t="shared" si="13"/>
        <v>17.32786728377911</v>
      </c>
      <c r="D187">
        <f t="shared" si="14"/>
        <v>23.451750906377629</v>
      </c>
      <c r="E187">
        <f t="shared" si="15"/>
        <v>22.416576445734108</v>
      </c>
      <c r="F187">
        <f t="shared" si="16"/>
        <v>25.383238998981057</v>
      </c>
      <c r="G187">
        <f t="shared" si="17"/>
        <v>29.468706519971782</v>
      </c>
    </row>
    <row r="188" spans="1:7">
      <c r="A188">
        <v>175</v>
      </c>
      <c r="B188">
        <f t="shared" si="12"/>
        <v>20.593639463124138</v>
      </c>
      <c r="C188">
        <f t="shared" si="13"/>
        <v>17.379572521998885</v>
      </c>
      <c r="D188">
        <f t="shared" si="14"/>
        <v>23.539668084602546</v>
      </c>
      <c r="E188">
        <f t="shared" si="15"/>
        <v>22.503568490120067</v>
      </c>
      <c r="F188">
        <f t="shared" si="16"/>
        <v>25.449308345457265</v>
      </c>
      <c r="G188">
        <f t="shared" si="17"/>
        <v>29.592722138850174</v>
      </c>
    </row>
    <row r="189" spans="1:7">
      <c r="A189">
        <v>176</v>
      </c>
      <c r="B189">
        <f t="shared" si="12"/>
        <v>20.671219868438119</v>
      </c>
      <c r="C189">
        <f t="shared" si="13"/>
        <v>17.431136109928531</v>
      </c>
      <c r="D189">
        <f t="shared" si="14"/>
        <v>23.627411082160677</v>
      </c>
      <c r="E189">
        <f t="shared" si="15"/>
        <v>22.590399558432491</v>
      </c>
      <c r="F189">
        <f t="shared" si="16"/>
        <v>25.515171728604695</v>
      </c>
      <c r="G189">
        <f t="shared" si="17"/>
        <v>29.716548561065121</v>
      </c>
    </row>
    <row r="190" spans="1:7">
      <c r="A190">
        <v>177</v>
      </c>
      <c r="B190">
        <f t="shared" si="12"/>
        <v>20.748650502246722</v>
      </c>
      <c r="C190">
        <f t="shared" si="13"/>
        <v>17.48255923717225</v>
      </c>
      <c r="D190">
        <f t="shared" si="14"/>
        <v>23.714981230878269</v>
      </c>
      <c r="E190">
        <f t="shared" si="15"/>
        <v>22.677070860667953</v>
      </c>
      <c r="F190">
        <f t="shared" si="16"/>
        <v>25.580830955293695</v>
      </c>
      <c r="G190">
        <f t="shared" si="17"/>
        <v>29.840187147792388</v>
      </c>
    </row>
    <row r="191" spans="1:7">
      <c r="A191">
        <v>178</v>
      </c>
      <c r="B191">
        <f t="shared" si="12"/>
        <v>20.825932497421274</v>
      </c>
      <c r="C191">
        <f t="shared" si="13"/>
        <v>17.533843076688136</v>
      </c>
      <c r="D191">
        <f t="shared" si="14"/>
        <v>23.802379844938319</v>
      </c>
      <c r="E191">
        <f t="shared" si="15"/>
        <v>22.763583590949164</v>
      </c>
      <c r="F191">
        <f t="shared" si="16"/>
        <v>25.646287806439972</v>
      </c>
      <c r="G191">
        <f t="shared" si="17"/>
        <v>29.963639242785373</v>
      </c>
    </row>
    <row r="192" spans="1:7">
      <c r="A192">
        <v>179</v>
      </c>
      <c r="B192">
        <f t="shared" si="12"/>
        <v>20.903066971953674</v>
      </c>
      <c r="C192">
        <f t="shared" si="13"/>
        <v>17.584988785113197</v>
      </c>
      <c r="D192">
        <f t="shared" si="14"/>
        <v>23.889608221212089</v>
      </c>
      <c r="E192">
        <f t="shared" si="15"/>
        <v>22.849938927821277</v>
      </c>
      <c r="F192">
        <f t="shared" si="16"/>
        <v>25.711544037520934</v>
      </c>
      <c r="G192">
        <f t="shared" si="17"/>
        <v>30.086906172694729</v>
      </c>
    </row>
    <row r="193" spans="1:7">
      <c r="A193">
        <v>180</v>
      </c>
      <c r="B193">
        <f t="shared" si="12"/>
        <v>20.980055029233764</v>
      </c>
      <c r="C193">
        <f t="shared" si="13"/>
        <v>17.635997503080258</v>
      </c>
      <c r="D193">
        <f t="shared" si="14"/>
        <v>23.976667639582462</v>
      </c>
      <c r="E193">
        <f t="shared" si="15"/>
        <v>22.936138034540875</v>
      </c>
      <c r="F193">
        <f t="shared" si="16"/>
        <v>25.776601379078915</v>
      </c>
      <c r="G193">
        <f t="shared" si="17"/>
        <v>30.209989247380282</v>
      </c>
    </row>
    <row r="194" spans="1:7">
      <c r="A194">
        <v>181</v>
      </c>
      <c r="B194">
        <f t="shared" si="12"/>
        <v>21.056897758320044</v>
      </c>
      <c r="C194">
        <f t="shared" si="13"/>
        <v>17.68687035552696</v>
      </c>
      <c r="D194">
        <f t="shared" si="14"/>
        <v>24.063559363259557</v>
      </c>
      <c r="E194">
        <f t="shared" si="15"/>
        <v>23.022182059358052</v>
      </c>
      <c r="F194">
        <f t="shared" si="16"/>
        <v>25.841461537211721</v>
      </c>
      <c r="G194">
        <f t="shared" si="17"/>
        <v>30.332889760215572</v>
      </c>
    </row>
    <row r="195" spans="1:7">
      <c r="A195">
        <v>182</v>
      </c>
      <c r="B195">
        <f t="shared" si="12"/>
        <v>21.133596234203878</v>
      </c>
      <c r="C195">
        <f t="shared" si="13"/>
        <v>17.737608451997136</v>
      </c>
      <c r="D195">
        <f t="shared" si="14"/>
        <v>24.150284639088721</v>
      </c>
      <c r="E195">
        <f t="shared" si="15"/>
        <v>23.108072135791765</v>
      </c>
      <c r="F195">
        <f t="shared" si="16"/>
        <v>25.906126194050834</v>
      </c>
      <c r="G195">
        <f t="shared" si="17"/>
        <v>30.455608988385254</v>
      </c>
    </row>
    <row r="196" spans="1:7">
      <c r="A196">
        <v>183</v>
      </c>
      <c r="B196">
        <f t="shared" si="12"/>
        <v>21.210151518067452</v>
      </c>
      <c r="C196">
        <f t="shared" si="13"/>
        <v>17.788212886934808</v>
      </c>
      <c r="D196">
        <f t="shared" si="14"/>
        <v>24.236844697851282</v>
      </c>
      <c r="E196">
        <f t="shared" si="15"/>
        <v>23.193809382898703</v>
      </c>
      <c r="F196">
        <f t="shared" si="16"/>
        <v>25.970597008227784</v>
      </c>
      <c r="G196">
        <f t="shared" si="17"/>
        <v>30.578148193175533</v>
      </c>
    </row>
    <row r="197" spans="1:7">
      <c r="A197">
        <v>184</v>
      </c>
      <c r="B197">
        <f t="shared" si="12"/>
        <v>21.286564657535529</v>
      </c>
      <c r="C197">
        <f t="shared" si="13"/>
        <v>17.838684739970919</v>
      </c>
      <c r="D197">
        <f t="shared" si="14"/>
        <v>24.323240754557936</v>
      </c>
      <c r="E197">
        <f t="shared" si="15"/>
        <v>23.279394905535703</v>
      </c>
      <c r="F197">
        <f t="shared" si="16"/>
        <v>26.034875615328811</v>
      </c>
      <c r="G197">
        <f t="shared" si="17"/>
        <v>30.70050862025769</v>
      </c>
    </row>
    <row r="198" spans="1:7">
      <c r="A198">
        <v>185</v>
      </c>
      <c r="B198">
        <f t="shared" si="12"/>
        <v>21.362836686921405</v>
      </c>
      <c r="C198">
        <f t="shared" si="13"/>
        <v>17.889025076203183</v>
      </c>
      <c r="D198">
        <f t="shared" si="14"/>
        <v>24.409474008735533</v>
      </c>
      <c r="E198">
        <f t="shared" si="15"/>
        <v>23.364829794616085</v>
      </c>
      <c r="F198">
        <f t="shared" si="16"/>
        <v>26.098963628338446</v>
      </c>
      <c r="G198">
        <f t="shared" si="17"/>
        <v>30.822691499965263</v>
      </c>
    </row>
    <row r="199" spans="1:7">
      <c r="A199">
        <v>186</v>
      </c>
      <c r="B199">
        <f t="shared" si="12"/>
        <v>21.438968627467002</v>
      </c>
      <c r="C199">
        <f t="shared" si="13"/>
        <v>17.939234946469114</v>
      </c>
      <c r="D199">
        <f t="shared" si="14"/>
        <v>24.495545644706866</v>
      </c>
      <c r="E199">
        <f t="shared" si="15"/>
        <v>23.450115127360039</v>
      </c>
      <c r="F199">
        <f t="shared" si="16"/>
        <v>26.16286263807212</v>
      </c>
      <c r="G199">
        <f t="shared" si="17"/>
        <v>30.944698047564721</v>
      </c>
    </row>
    <row r="200" spans="1:7">
      <c r="A200">
        <v>187</v>
      </c>
      <c r="B200">
        <f t="shared" si="12"/>
        <v>21.514961487577299</v>
      </c>
      <c r="C200">
        <f t="shared" si="13"/>
        <v>17.989315387612443</v>
      </c>
      <c r="D200">
        <f t="shared" si="14"/>
        <v>24.581456831863953</v>
      </c>
      <c r="E200">
        <f t="shared" si="15"/>
        <v>23.53525196753899</v>
      </c>
      <c r="F200">
        <f t="shared" si="16"/>
        <v>26.226574213598223</v>
      </c>
      <c r="G200">
        <f t="shared" si="17"/>
        <v>31.066529463519853</v>
      </c>
    </row>
    <row r="201" spans="1:7">
      <c r="A201">
        <v>188</v>
      </c>
      <c r="B201">
        <f t="shared" si="12"/>
        <v>21.590816263049561</v>
      </c>
      <c r="C201">
        <f t="shared" si="13"/>
        <v>18.039267422743297</v>
      </c>
      <c r="D201">
        <f t="shared" si="14"/>
        <v>24.667208724935172</v>
      </c>
      <c r="E201">
        <f t="shared" si="15"/>
        <v>23.620241365714598</v>
      </c>
      <c r="F201">
        <f t="shared" si="16"/>
        <v>26.290099902649981</v>
      </c>
      <c r="G201">
        <f t="shared" si="17"/>
        <v>31.188186933750298</v>
      </c>
    </row>
    <row r="202" spans="1:7">
      <c r="A202">
        <v>189</v>
      </c>
      <c r="B202">
        <f t="shared" si="12"/>
        <v>21.666533937297054</v>
      </c>
      <c r="C202">
        <f t="shared" si="13"/>
        <v>18.089092061492057</v>
      </c>
      <c r="D202">
        <f t="shared" si="14"/>
        <v>24.752802464246006</v>
      </c>
      <c r="E202">
        <f t="shared" si="15"/>
        <v>23.705084359472089</v>
      </c>
      <c r="F202">
        <f t="shared" si="16"/>
        <v>26.353441232027297</v>
      </c>
      <c r="G202">
        <f t="shared" si="17"/>
        <v>31.309671629884097</v>
      </c>
    </row>
    <row r="203" spans="1:7">
      <c r="A203">
        <v>190</v>
      </c>
      <c r="B203">
        <f t="shared" si="12"/>
        <v>21.742115481567687</v>
      </c>
      <c r="C203">
        <f t="shared" si="13"/>
        <v>18.138790300257249</v>
      </c>
      <c r="D203">
        <f t="shared" si="14"/>
        <v>24.838239175973882</v>
      </c>
      <c r="E203">
        <f t="shared" si="15"/>
        <v>23.789781973648253</v>
      </c>
      <c r="F203">
        <f t="shared" si="16"/>
        <v>26.416599707989008</v>
      </c>
      <c r="G203">
        <f t="shared" si="17"/>
        <v>31.430984709504578</v>
      </c>
    </row>
    <row r="204" spans="1:7">
      <c r="A204">
        <v>191</v>
      </c>
      <c r="B204">
        <f t="shared" si="12"/>
        <v>21.817561855157745</v>
      </c>
      <c r="C204">
        <f t="shared" si="13"/>
        <v>18.188363122447612</v>
      </c>
      <c r="D204">
        <f t="shared" si="14"/>
        <v>24.923519972397195</v>
      </c>
      <c r="E204">
        <f t="shared" si="15"/>
        <v>23.874335220554361</v>
      </c>
      <c r="F204">
        <f t="shared" si="16"/>
        <v>26.479576816635728</v>
      </c>
      <c r="G204">
        <f t="shared" si="17"/>
        <v>31.552127316391708</v>
      </c>
    </row>
    <row r="205" spans="1:7">
      <c r="A205">
        <v>192</v>
      </c>
      <c r="B205">
        <f t="shared" si="12"/>
        <v>21.892874005620676</v>
      </c>
      <c r="C205">
        <f t="shared" si="13"/>
        <v>18.237811498718482</v>
      </c>
      <c r="D205">
        <f t="shared" si="14"/>
        <v>25.00864595213865</v>
      </c>
      <c r="E205">
        <f t="shared" si="15"/>
        <v>23.958745100193919</v>
      </c>
      <c r="F205">
        <f t="shared" si="16"/>
        <v>26.542374024283617</v>
      </c>
      <c r="G205">
        <f t="shared" si="17"/>
        <v>31.673100580758014</v>
      </c>
    </row>
    <row r="206" spans="1:7">
      <c r="A206">
        <v>193</v>
      </c>
      <c r="B206">
        <f t="shared" ref="B206:B253" si="18">EXP($B$4+$C$4*LN(A206))</f>
        <v>21.968052868971188</v>
      </c>
      <c r="C206">
        <f t="shared" ref="C206:C253" si="19">EXP($B$5+$C$5*LN(A206))</f>
        <v>18.287136387202665</v>
      </c>
      <c r="D206">
        <f t="shared" ref="D206:D253" si="20">EXP($B$6+$C$6*LN(A206))</f>
        <v>25.09361820040311</v>
      </c>
      <c r="E206">
        <f t="shared" ref="E206:E253" si="21">EXP($B$7+$C$7*LN(A206))</f>
        <v>24.043012600475631</v>
      </c>
      <c r="F206">
        <f t="shared" ref="F206:F253" si="22">EXP($B$8+$C$8*LN(A206))</f>
        <v>26.604992777829299</v>
      </c>
      <c r="G206">
        <f t="shared" ref="G206:G253" si="23">EXP($B$9+$C$9*LN(A206))</f>
        <v>31.793905619479336</v>
      </c>
    </row>
    <row r="207" spans="1:7">
      <c r="A207">
        <v>194</v>
      </c>
      <c r="B207">
        <f t="shared" si="18"/>
        <v>22.043099369884793</v>
      </c>
      <c r="C207">
        <f t="shared" si="19"/>
        <v>18.336338733735943</v>
      </c>
      <c r="D207">
        <f t="shared" si="20"/>
        <v>25.178437789210072</v>
      </c>
      <c r="E207">
        <f t="shared" si="21"/>
        <v>24.127138697421472</v>
      </c>
      <c r="F207">
        <f t="shared" si="22"/>
        <v>26.667434505106183</v>
      </c>
      <c r="G207">
        <f t="shared" si="23"/>
        <v>31.914543536320455</v>
      </c>
    </row>
    <row r="208" spans="1:7">
      <c r="A208">
        <v>195</v>
      </c>
      <c r="B208">
        <f t="shared" si="18"/>
        <v>22.118014421892848</v>
      </c>
      <c r="C208">
        <f t="shared" si="19"/>
        <v>18.38541947207743</v>
      </c>
      <c r="D208">
        <f t="shared" si="20"/>
        <v>25.263105777620975</v>
      </c>
      <c r="E208">
        <f t="shared" si="21"/>
        <v>24.211124355370277</v>
      </c>
      <c r="F208">
        <f t="shared" si="22"/>
        <v>26.729700615232495</v>
      </c>
      <c r="G208">
        <f t="shared" si="23"/>
        <v>32.035015422155666</v>
      </c>
    </row>
    <row r="209" spans="1:7">
      <c r="A209">
        <v>196</v>
      </c>
      <c r="B209">
        <f t="shared" si="18"/>
        <v>22.192798927573289</v>
      </c>
      <c r="C209">
        <f t="shared" si="19"/>
        <v>18.434379524124818</v>
      </c>
      <c r="D209">
        <f t="shared" si="20"/>
        <v>25.347623211961405</v>
      </c>
      <c r="E209">
        <f t="shared" si="21"/>
        <v>24.29497052717668</v>
      </c>
      <c r="F209">
        <f t="shared" si="22"/>
        <v>26.791792498951139</v>
      </c>
      <c r="G209">
        <f t="shared" si="23"/>
        <v>32.155322355184708</v>
      </c>
    </row>
    <row r="210" spans="1:7">
      <c r="A210">
        <v>197</v>
      </c>
      <c r="B210">
        <f t="shared" si="18"/>
        <v>22.267453778737131</v>
      </c>
      <c r="C210">
        <f t="shared" si="19"/>
        <v>18.483219800124729</v>
      </c>
      <c r="D210">
        <f t="shared" si="20"/>
        <v>25.431991126038408</v>
      </c>
      <c r="E210">
        <f t="shared" si="21"/>
        <v>24.378678154405765</v>
      </c>
      <c r="F210">
        <f t="shared" si="22"/>
        <v>26.853711528961743</v>
      </c>
      <c r="G210">
        <f t="shared" si="23"/>
        <v>32.275465401143904</v>
      </c>
    </row>
    <row r="211" spans="1:7">
      <c r="A211">
        <v>198</v>
      </c>
      <c r="B211">
        <f t="shared" si="18"/>
        <v>22.341979856610845</v>
      </c>
      <c r="C211">
        <f t="shared" si="19"/>
        <v>18.531941198878279</v>
      </c>
      <c r="D211">
        <f t="shared" si="20"/>
        <v>25.516210541352962</v>
      </c>
      <c r="E211">
        <f t="shared" si="21"/>
        <v>24.462248167523377</v>
      </c>
      <c r="F211">
        <f t="shared" si="22"/>
        <v>26.915459060245013</v>
      </c>
      <c r="G211">
        <f t="shared" si="23"/>
        <v>32.395445613512578</v>
      </c>
    </row>
    <row r="212" spans="1:7">
      <c r="A212">
        <v>199</v>
      </c>
      <c r="B212">
        <f t="shared" si="18"/>
        <v>22.416378032014791</v>
      </c>
      <c r="C212">
        <f t="shared" si="19"/>
        <v>18.580544607942013</v>
      </c>
      <c r="D212">
        <f t="shared" si="20"/>
        <v>25.600282467307867</v>
      </c>
      <c r="E212">
        <f t="shared" si="21"/>
        <v>24.545681486082323</v>
      </c>
      <c r="F212">
        <f t="shared" si="22"/>
        <v>26.977036430379645</v>
      </c>
      <c r="G212">
        <f t="shared" si="23"/>
        <v>32.515264033715354</v>
      </c>
    </row>
    <row r="213" spans="1:7">
      <c r="A213">
        <v>200</v>
      </c>
      <c r="B213">
        <f t="shared" si="18"/>
        <v>22.490649165537711</v>
      </c>
      <c r="C213">
        <f t="shared" si="19"/>
        <v>18.629030903824326</v>
      </c>
      <c r="D213">
        <f t="shared" si="20"/>
        <v>25.684207901411021</v>
      </c>
      <c r="E213">
        <f t="shared" si="21"/>
        <v>24.628979018904527</v>
      </c>
      <c r="F213">
        <f t="shared" si="22"/>
        <v>27.038444959852093</v>
      </c>
      <c r="G213">
        <f t="shared" si="23"/>
        <v>32.634921691319853</v>
      </c>
    </row>
    <row r="214" spans="1:7">
      <c r="A214">
        <v>201</v>
      </c>
      <c r="B214">
        <f t="shared" si="18"/>
        <v>22.564794107707471</v>
      </c>
      <c r="C214">
        <f t="shared" si="19"/>
        <v>18.677400952177482</v>
      </c>
      <c r="D214">
        <f t="shared" si="20"/>
        <v>25.767987829474372</v>
      </c>
      <c r="E214">
        <f t="shared" si="21"/>
        <v>24.712141664259264</v>
      </c>
      <c r="F214">
        <f t="shared" si="22"/>
        <v>27.099685952359177</v>
      </c>
      <c r="G214">
        <f t="shared" si="23"/>
        <v>32.754419604230264</v>
      </c>
    </row>
    <row r="215" spans="1:7">
      <c r="A215">
        <v>202</v>
      </c>
      <c r="B215">
        <f t="shared" si="18"/>
        <v>22.638813699158106</v>
      </c>
      <c r="C215">
        <f t="shared" si="19"/>
        <v>18.72565560798531</v>
      </c>
      <c r="D215">
        <f t="shared" si="20"/>
        <v>25.851623225808417</v>
      </c>
      <c r="E215">
        <f t="shared" si="21"/>
        <v>24.795170310037484</v>
      </c>
      <c r="F215">
        <f t="shared" si="22"/>
        <v>27.160760695103924</v>
      </c>
      <c r="G215">
        <f t="shared" si="23"/>
        <v>32.873758778876805</v>
      </c>
    </row>
    <row r="216" spans="1:7">
      <c r="A216">
        <v>203</v>
      </c>
      <c r="B216">
        <f t="shared" si="18"/>
        <v>22.712708770793245</v>
      </c>
      <c r="C216">
        <f t="shared" si="19"/>
        <v>18.773795715746811</v>
      </c>
      <c r="D216">
        <f t="shared" si="20"/>
        <v>25.935115053412687</v>
      </c>
      <c r="E216">
        <f t="shared" si="21"/>
        <v>24.878065833922502</v>
      </c>
      <c r="F216">
        <f t="shared" si="22"/>
        <v>27.22167045908478</v>
      </c>
      <c r="G216">
        <f t="shared" si="23"/>
        <v>32.992940210401201</v>
      </c>
    </row>
    <row r="217" spans="1:7">
      <c r="A217">
        <v>204</v>
      </c>
      <c r="B217">
        <f t="shared" si="18"/>
        <v>22.786480143946171</v>
      </c>
      <c r="C217">
        <f t="shared" si="19"/>
        <v>18.821822109655741</v>
      </c>
      <c r="D217">
        <f t="shared" si="20"/>
        <v>26.018464264162088</v>
      </c>
      <c r="E217">
        <f t="shared" si="21"/>
        <v>24.960829103557028</v>
      </c>
      <c r="F217">
        <f t="shared" si="22"/>
        <v>27.282416499378311</v>
      </c>
      <c r="G217">
        <f t="shared" si="23"/>
        <v>33.111964882838265</v>
      </c>
    </row>
    <row r="218" spans="1:7">
      <c r="A218">
        <v>205</v>
      </c>
      <c r="B218">
        <f t="shared" si="18"/>
        <v>22.860128630536288</v>
      </c>
      <c r="C218">
        <f t="shared" si="19"/>
        <v>18.869735613776125</v>
      </c>
      <c r="D218">
        <f t="shared" si="20"/>
        <v>26.101671798989244</v>
      </c>
      <c r="E218">
        <f t="shared" si="21"/>
        <v>25.043460976706655</v>
      </c>
      <c r="F218">
        <f t="shared" si="22"/>
        <v>27.343000055415633</v>
      </c>
      <c r="G218">
        <f t="shared" si="23"/>
        <v>33.230833769293611</v>
      </c>
    </row>
    <row r="219" spans="1:7">
      <c r="A219">
        <v>206</v>
      </c>
      <c r="B219">
        <f t="shared" si="18"/>
        <v>22.933655033222418</v>
      </c>
      <c r="C219">
        <f t="shared" si="19"/>
        <v>18.91753704221405</v>
      </c>
      <c r="D219">
        <f t="shared" si="20"/>
        <v>26.184738588062995</v>
      </c>
      <c r="E219">
        <f t="shared" si="21"/>
        <v>25.125962301419797</v>
      </c>
      <c r="F219">
        <f t="shared" si="22"/>
        <v>27.403422351252651</v>
      </c>
      <c r="G219">
        <f t="shared" si="23"/>
        <v>33.349547832117779</v>
      </c>
    </row>
    <row r="220" spans="1:7">
      <c r="A220">
        <v>207</v>
      </c>
      <c r="B220">
        <f t="shared" si="18"/>
        <v>23.007060145552853</v>
      </c>
      <c r="C220">
        <f t="shared" si="19"/>
        <v>18.965227199285728</v>
      </c>
      <c r="D220">
        <f t="shared" si="20"/>
        <v>26.267665550963148</v>
      </c>
      <c r="E220">
        <f t="shared" si="21"/>
        <v>25.208333916184507</v>
      </c>
      <c r="F220">
        <f t="shared" si="22"/>
        <v>27.463684595834533</v>
      </c>
      <c r="G220">
        <f t="shared" si="23"/>
        <v>33.468108023076695</v>
      </c>
    </row>
    <row r="221" spans="1:7">
      <c r="A221">
        <v>208</v>
      </c>
      <c r="B221">
        <f t="shared" si="18"/>
        <v>23.080344752112232</v>
      </c>
      <c r="C221">
        <f t="shared" si="19"/>
        <v>19.012806879681868</v>
      </c>
      <c r="D221">
        <f t="shared" si="20"/>
        <v>26.350453596851612</v>
      </c>
      <c r="E221">
        <f t="shared" si="21"/>
        <v>25.290576650081835</v>
      </c>
      <c r="F221">
        <f t="shared" si="22"/>
        <v>27.523787983254159</v>
      </c>
      <c r="G221">
        <f t="shared" si="23"/>
        <v>33.586515283518601</v>
      </c>
    </row>
    <row r="222" spans="1:7">
      <c r="A222">
        <v>209</v>
      </c>
      <c r="B222">
        <f t="shared" si="18"/>
        <v>23.153509628665311</v>
      </c>
      <c r="C222">
        <f t="shared" si="19"/>
        <v>19.060276868628517</v>
      </c>
      <c r="D222">
        <f t="shared" si="20"/>
        <v>26.433103624639784</v>
      </c>
      <c r="E222">
        <f t="shared" si="21"/>
        <v>25.372691322935992</v>
      </c>
      <c r="F222">
        <f t="shared" si="22"/>
        <v>27.583733693005009</v>
      </c>
      <c r="G222">
        <f t="shared" si="23"/>
        <v>33.704770544537617</v>
      </c>
    </row>
    <row r="223" spans="1:7">
      <c r="A223">
        <v>210</v>
      </c>
      <c r="B223">
        <f t="shared" si="18"/>
        <v>23.226555542297902</v>
      </c>
      <c r="C223">
        <f t="shared" si="19"/>
        <v>19.107637942044519</v>
      </c>
      <c r="D223">
        <f t="shared" si="20"/>
        <v>26.515616523152701</v>
      </c>
      <c r="E223">
        <f t="shared" si="21"/>
        <v>25.454678745461539</v>
      </c>
      <c r="F223">
        <f t="shared" si="22"/>
        <v>27.643522890228628</v>
      </c>
      <c r="G223">
        <f t="shared" si="23"/>
        <v>33.822874727133943</v>
      </c>
    </row>
    <row r="224" spans="1:7">
      <c r="A224">
        <v>211</v>
      </c>
      <c r="B224">
        <f t="shared" si="18"/>
        <v>23.299483251554719</v>
      </c>
      <c r="C224">
        <f t="shared" si="19"/>
        <v>19.154890866695578</v>
      </c>
      <c r="D224">
        <f t="shared" si="20"/>
        <v>26.597993171289581</v>
      </c>
      <c r="E224">
        <f t="shared" si="21"/>
        <v>25.536539719407457</v>
      </c>
      <c r="F224">
        <f t="shared" si="22"/>
        <v>27.703156725956681</v>
      </c>
      <c r="G224">
        <f t="shared" si="23"/>
        <v>33.940828742370748</v>
      </c>
    </row>
    <row r="225" spans="1:7">
      <c r="A225">
        <v>212</v>
      </c>
      <c r="B225">
        <f t="shared" si="18"/>
        <v>23.372293506574504</v>
      </c>
      <c r="C225">
        <f t="shared" si="19"/>
        <v>19.202036400344994</v>
      </c>
      <c r="D225">
        <f t="shared" si="20"/>
        <v>26.680234438181138</v>
      </c>
      <c r="E225">
        <f t="shared" si="21"/>
        <v>25.618275037698265</v>
      </c>
      <c r="F225">
        <f t="shared" si="22"/>
        <v>27.762636337347747</v>
      </c>
      <c r="G225">
        <f t="shared" si="23"/>
        <v>34.05863349152802</v>
      </c>
    </row>
    <row r="226" spans="1:7">
      <c r="A226">
        <v>213</v>
      </c>
      <c r="B226">
        <f t="shared" si="18"/>
        <v>23.444987049222384</v>
      </c>
      <c r="C226">
        <f t="shared" si="19"/>
        <v>19.249075291901352</v>
      </c>
      <c r="D226">
        <f t="shared" si="20"/>
        <v>26.762341183343789</v>
      </c>
      <c r="E226">
        <f t="shared" si="21"/>
        <v>25.699885484572306</v>
      </c>
      <c r="F226">
        <f t="shared" si="22"/>
        <v>27.82196284791916</v>
      </c>
      <c r="G226">
        <f t="shared" si="23"/>
        <v>34.1762898662532</v>
      </c>
    </row>
    <row r="227" spans="1:7">
      <c r="A227">
        <v>214</v>
      </c>
      <c r="B227">
        <f t="shared" si="18"/>
        <v>23.517564613219452</v>
      </c>
      <c r="C227">
        <f t="shared" si="19"/>
        <v>19.296008281562994</v>
      </c>
      <c r="D227">
        <f t="shared" si="20"/>
        <v>26.844314256830472</v>
      </c>
      <c r="E227">
        <f t="shared" si="21"/>
        <v>25.781371835717188</v>
      </c>
      <c r="F227">
        <f t="shared" si="22"/>
        <v>27.881137367773771</v>
      </c>
      <c r="G227">
        <f t="shared" si="23"/>
        <v>34.293798748708795</v>
      </c>
    </row>
    <row r="228" spans="1:7">
      <c r="A228">
        <v>215</v>
      </c>
      <c r="B228">
        <f t="shared" si="18"/>
        <v>23.590026924269868</v>
      </c>
      <c r="C228">
        <f t="shared" si="19"/>
        <v>19.342836100959499</v>
      </c>
      <c r="D228">
        <f t="shared" si="20"/>
        <v>26.926154499378679</v>
      </c>
      <c r="E228">
        <f t="shared" si="21"/>
        <v>25.862734858402529</v>
      </c>
      <c r="F228">
        <f t="shared" si="22"/>
        <v>27.940160993822069</v>
      </c>
      <c r="G228">
        <f t="shared" si="23"/>
        <v>34.411161011717255</v>
      </c>
    </row>
    <row r="229" spans="1:7">
      <c r="A229">
        <v>216</v>
      </c>
      <c r="B229">
        <f t="shared" si="18"/>
        <v>23.662374700185229</v>
      </c>
      <c r="C229">
        <f t="shared" si="19"/>
        <v>19.38955947329028</v>
      </c>
      <c r="D229">
        <f t="shared" si="20"/>
        <v>27.007862742555247</v>
      </c>
      <c r="E229">
        <f t="shared" si="21"/>
        <v>25.943975311610018</v>
      </c>
      <c r="F229">
        <f t="shared" si="22"/>
        <v>27.999034809999436</v>
      </c>
      <c r="G229">
        <f t="shared" si="23"/>
        <v>34.528377518902651</v>
      </c>
    </row>
    <row r="230" spans="1:7">
      <c r="A230">
        <v>217</v>
      </c>
      <c r="B230">
        <f t="shared" si="18"/>
        <v>23.734608651006518</v>
      </c>
      <c r="C230">
        <f t="shared" si="19"/>
        <v>19.43617911346017</v>
      </c>
      <c r="D230">
        <f t="shared" si="20"/>
        <v>27.089439808898362</v>
      </c>
      <c r="E230">
        <f t="shared" si="21"/>
        <v>26.025093946160776</v>
      </c>
      <c r="F230">
        <f t="shared" si="22"/>
        <v>28.057759887478909</v>
      </c>
      <c r="G230">
        <f t="shared" si="23"/>
        <v>34.645449124829767</v>
      </c>
    </row>
    <row r="231" spans="1:7">
      <c r="A231">
        <v>218</v>
      </c>
      <c r="B231">
        <f t="shared" si="18"/>
        <v>23.806729479123696</v>
      </c>
      <c r="C231">
        <f t="shared" si="19"/>
        <v>19.482695728212381</v>
      </c>
      <c r="D231">
        <f t="shared" si="20"/>
        <v>27.170886512056825</v>
      </c>
      <c r="E231">
        <f t="shared" si="21"/>
        <v>26.106091504840403</v>
      </c>
      <c r="F231">
        <f t="shared" si="22"/>
        <v>28.116337284879538</v>
      </c>
      <c r="G231">
        <f t="shared" si="23"/>
        <v>34.762376675140501</v>
      </c>
    </row>
    <row r="232" spans="1:7">
      <c r="A232">
        <v>219</v>
      </c>
      <c r="B232">
        <f t="shared" si="18"/>
        <v>23.878737879392773</v>
      </c>
      <c r="C232">
        <f t="shared" si="19"/>
        <v>19.529110016258613</v>
      </c>
      <c r="D232">
        <f t="shared" si="20"/>
        <v>27.252203656926273</v>
      </c>
      <c r="E232">
        <f t="shared" si="21"/>
        <v>26.186968722521357</v>
      </c>
      <c r="F232">
        <f t="shared" si="22"/>
        <v>28.174768048470362</v>
      </c>
      <c r="G232">
        <f t="shared" si="23"/>
        <v>34.879161006687433</v>
      </c>
    </row>
    <row r="233" spans="1:7">
      <c r="A233">
        <v>220</v>
      </c>
      <c r="B233">
        <f t="shared" si="18"/>
        <v>23.95063453925064</v>
      </c>
      <c r="C233">
        <f t="shared" si="19"/>
        <v>19.57542266840656</v>
      </c>
      <c r="D233">
        <f t="shared" si="20"/>
        <v>27.333392039782968</v>
      </c>
      <c r="E233">
        <f t="shared" si="21"/>
        <v>26.267726326282947</v>
      </c>
      <c r="F233">
        <f t="shared" si="22"/>
        <v>28.233053212370084</v>
      </c>
      <c r="G233">
        <f t="shared" si="23"/>
        <v>34.995802947664878</v>
      </c>
    </row>
    <row r="234" spans="1:7">
      <c r="A234">
        <v>221</v>
      </c>
      <c r="B234">
        <f t="shared" si="18"/>
        <v>24.022420138827599</v>
      </c>
      <c r="C234">
        <f t="shared" si="19"/>
        <v>19.621634367684766</v>
      </c>
      <c r="D234">
        <f t="shared" si="20"/>
        <v>27.41445244841475</v>
      </c>
      <c r="E234">
        <f t="shared" si="21"/>
        <v>26.348365035529053</v>
      </c>
      <c r="F234">
        <f t="shared" si="22"/>
        <v>28.291193798742764</v>
      </c>
      <c r="G234">
        <f t="shared" si="23"/>
        <v>35.112303317737357</v>
      </c>
    </row>
    <row r="235" spans="1:7">
      <c r="A235">
        <v>222</v>
      </c>
      <c r="B235">
        <f t="shared" si="18"/>
        <v>24.094095351057799</v>
      </c>
      <c r="C235">
        <f t="shared" si="19"/>
        <v>19.667745789465052</v>
      </c>
      <c r="D235">
        <f t="shared" si="20"/>
        <v>27.495385662249568</v>
      </c>
      <c r="E235">
        <f t="shared" si="21"/>
        <v>26.428885562103481</v>
      </c>
      <c r="F235">
        <f t="shared" si="22"/>
        <v>28.349190817989403</v>
      </c>
      <c r="G235">
        <f t="shared" si="23"/>
        <v>35.228662928165775</v>
      </c>
    </row>
    <row r="236" spans="1:7">
      <c r="A236">
        <v>223</v>
      </c>
      <c r="B236">
        <f t="shared" si="18"/>
        <v>24.165660841787286</v>
      </c>
      <c r="C236">
        <f t="shared" si="19"/>
        <v>19.713757601582358</v>
      </c>
      <c r="D236">
        <f t="shared" si="20"/>
        <v>27.576192452481362</v>
      </c>
      <c r="E236">
        <f t="shared" si="21"/>
        <v>26.509288610403047</v>
      </c>
      <c r="F236">
        <f t="shared" si="22"/>
        <v>28.407045268935615</v>
      </c>
      <c r="G236">
        <f t="shared" si="23"/>
        <v>35.344882581930854</v>
      </c>
    </row>
    <row r="237" spans="1:7">
      <c r="A237">
        <v>224</v>
      </c>
      <c r="B237">
        <f t="shared" si="18"/>
        <v>24.237117269880208</v>
      </c>
      <c r="C237">
        <f t="shared" si="19"/>
        <v>19.759670464452277</v>
      </c>
      <c r="D237">
        <f t="shared" si="20"/>
        <v>27.656873582193551</v>
      </c>
      <c r="E237">
        <f t="shared" si="21"/>
        <v>26.58957487748852</v>
      </c>
      <c r="F237">
        <f t="shared" si="22"/>
        <v>28.464758139015469</v>
      </c>
      <c r="G237">
        <f t="shared" si="23"/>
        <v>35.46096307385443</v>
      </c>
    </row>
    <row r="238" spans="1:7">
      <c r="A238">
        <v>225</v>
      </c>
      <c r="B238">
        <f t="shared" si="18"/>
        <v>24.308465287322786</v>
      </c>
      <c r="C238">
        <f t="shared" si="19"/>
        <v>19.805485031186194</v>
      </c>
      <c r="D238">
        <f t="shared" si="20"/>
        <v>27.737429806480232</v>
      </c>
      <c r="E238">
        <f t="shared" si="21"/>
        <v>26.669745053193459</v>
      </c>
      <c r="F238">
        <f t="shared" si="22"/>
        <v>28.522330404451662</v>
      </c>
      <c r="G238">
        <f t="shared" si="23"/>
        <v>35.576905190718435</v>
      </c>
    </row>
    <row r="239" spans="1:7">
      <c r="A239">
        <v>226</v>
      </c>
      <c r="B239">
        <f t="shared" si="18"/>
        <v>24.379705539325343</v>
      </c>
      <c r="C239">
        <f t="shared" si="19"/>
        <v>19.851201947704105</v>
      </c>
      <c r="D239">
        <f t="shared" si="20"/>
        <v>27.817861872564801</v>
      </c>
      <c r="E239">
        <f t="shared" si="21"/>
        <v>26.749799820230869</v>
      </c>
      <c r="F239">
        <f t="shared" si="22"/>
        <v>28.579763030432009</v>
      </c>
      <c r="G239">
        <f t="shared" si="23"/>
        <v>35.692709711381525</v>
      </c>
    </row>
    <row r="240" spans="1:7">
      <c r="A240">
        <v>227</v>
      </c>
      <c r="B240">
        <f t="shared" si="18"/>
        <v>24.450838664422395</v>
      </c>
      <c r="C240">
        <f t="shared" si="19"/>
        <v>19.896821852845271</v>
      </c>
      <c r="D240">
        <f t="shared" si="20"/>
        <v>27.898170519916487</v>
      </c>
      <c r="E240">
        <f t="shared" si="21"/>
        <v>26.829739854297824</v>
      </c>
      <c r="F240">
        <f t="shared" si="22"/>
        <v>28.637056971282373</v>
      </c>
      <c r="G240">
        <f t="shared" si="23"/>
        <v>35.808377406893527</v>
      </c>
    </row>
    <row r="241" spans="1:7">
      <c r="A241">
        <v>228</v>
      </c>
      <c r="B241">
        <f t="shared" si="18"/>
        <v>24.521865294570791</v>
      </c>
      <c r="C241">
        <f t="shared" si="19"/>
        <v>19.942345378476674</v>
      </c>
      <c r="D241">
        <f t="shared" si="20"/>
        <v>27.978356480364628</v>
      </c>
      <c r="E241">
        <f t="shared" si="21"/>
        <v>26.909565824178209</v>
      </c>
      <c r="F241">
        <f t="shared" si="22"/>
        <v>28.694213170636189</v>
      </c>
      <c r="G241">
        <f t="shared" si="23"/>
        <v>35.923909040607867</v>
      </c>
    </row>
    <row r="242" spans="1:7">
      <c r="A242">
        <v>229</v>
      </c>
      <c r="B242">
        <f t="shared" si="18"/>
        <v>24.59278605524602</v>
      </c>
      <c r="C242">
        <f t="shared" si="19"/>
        <v>19.987773149599278</v>
      </c>
      <c r="D242">
        <f t="shared" si="20"/>
        <v>28.058420478210714</v>
      </c>
      <c r="E242">
        <f t="shared" si="21"/>
        <v>26.989278391843399</v>
      </c>
      <c r="F242">
        <f t="shared" si="22"/>
        <v>28.751232561600535</v>
      </c>
      <c r="G242">
        <f t="shared" si="23"/>
        <v>36.039305368291707</v>
      </c>
    </row>
    <row r="243" spans="1:7">
      <c r="A243">
        <v>230</v>
      </c>
      <c r="B243">
        <f t="shared" si="18"/>
        <v>24.663601565536627</v>
      </c>
      <c r="C243">
        <f t="shared" si="19"/>
        <v>20.033105784452317</v>
      </c>
      <c r="D243">
        <f t="shared" si="20"/>
        <v>28.138363230338328</v>
      </c>
      <c r="E243">
        <f t="shared" si="21"/>
        <v>27.068878212551091</v>
      </c>
      <c r="F243">
        <f t="shared" si="22"/>
        <v>28.808116066919016</v>
      </c>
      <c r="G243">
        <f t="shared" si="23"/>
        <v>36.154567138234142</v>
      </c>
    </row>
    <row r="244" spans="1:7">
      <c r="A244">
        <v>231</v>
      </c>
      <c r="B244">
        <f t="shared" si="18"/>
        <v>24.734312438236966</v>
      </c>
      <c r="C244">
        <f t="shared" si="19"/>
        <v>20.078343894615436</v>
      </c>
      <c r="D244">
        <f t="shared" si="20"/>
        <v>28.218185446321009</v>
      </c>
      <c r="E244">
        <f t="shared" si="21"/>
        <v>27.148365934942241</v>
      </c>
      <c r="F244">
        <f t="shared" si="22"/>
        <v>28.864864599131305</v>
      </c>
      <c r="G244">
        <f t="shared" si="23"/>
        <v>36.269695091352382</v>
      </c>
    </row>
    <row r="245" spans="1:7">
      <c r="A245">
        <v>232</v>
      </c>
      <c r="B245">
        <f t="shared" si="18"/>
        <v>24.804919279938115</v>
      </c>
      <c r="C245">
        <f t="shared" si="19"/>
        <v>20.123488085108995</v>
      </c>
      <c r="D245">
        <f t="shared" si="20"/>
        <v>28.297887828528125</v>
      </c>
      <c r="E245">
        <f t="shared" si="21"/>
        <v>27.227742201136294</v>
      </c>
      <c r="F245">
        <f t="shared" si="22"/>
        <v>28.921479060729698</v>
      </c>
      <c r="G245">
        <f t="shared" si="23"/>
        <v>36.384689961295926</v>
      </c>
    </row>
    <row r="246" spans="1:7">
      <c r="A246">
        <v>233</v>
      </c>
      <c r="B246">
        <f t="shared" si="18"/>
        <v>24.875422691117087</v>
      </c>
      <c r="C246">
        <f t="shared" si="19"/>
        <v>20.168538954492284</v>
      </c>
      <c r="D246">
        <f t="shared" si="20"/>
        <v>28.377471072228673</v>
      </c>
      <c r="E246">
        <f t="shared" si="21"/>
        <v>27.307007646824427</v>
      </c>
      <c r="F246">
        <f t="shared" si="22"/>
        <v>28.977960344312404</v>
      </c>
      <c r="G246">
        <f t="shared" si="23"/>
        <v>36.499552474548892</v>
      </c>
    </row>
    <row r="247" spans="1:7">
      <c r="A247">
        <v>234</v>
      </c>
      <c r="B247">
        <f t="shared" si="18"/>
        <v>24.945823266224469</v>
      </c>
      <c r="C247">
        <f t="shared" si="19"/>
        <v>20.213497094960005</v>
      </c>
      <c r="D247">
        <f t="shared" si="20"/>
        <v>28.456935865693275</v>
      </c>
      <c r="E247">
        <f t="shared" si="21"/>
        <v>27.386162901361359</v>
      </c>
      <c r="F247">
        <f t="shared" si="22"/>
        <v>29.034309332734114</v>
      </c>
      <c r="G247">
        <f t="shared" si="23"/>
        <v>36.614283350530442</v>
      </c>
    </row>
    <row r="248" spans="1:7">
      <c r="A248">
        <v>235</v>
      </c>
      <c r="B248">
        <f t="shared" si="18"/>
        <v>25.016121593770325</v>
      </c>
      <c r="C248">
        <f t="shared" si="19"/>
        <v>20.258363092436714</v>
      </c>
      <c r="D248">
        <f t="shared" si="20"/>
        <v>28.536282890294135</v>
      </c>
      <c r="E248">
        <f t="shared" si="21"/>
        <v>27.465208587855116</v>
      </c>
      <c r="F248">
        <f t="shared" si="22"/>
        <v>29.090526899253298</v>
      </c>
      <c r="G248">
        <f t="shared" si="23"/>
        <v>36.728883301693251</v>
      </c>
    </row>
    <row r="249" spans="1:7">
      <c r="A249">
        <v>236</v>
      </c>
      <c r="B249">
        <f t="shared" si="18"/>
        <v>25.086318256408635</v>
      </c>
      <c r="C249">
        <f t="shared" si="19"/>
        <v>20.303137526669726</v>
      </c>
      <c r="D249">
        <f t="shared" si="20"/>
        <v>28.615512820603268</v>
      </c>
      <c r="E249">
        <f t="shared" si="21"/>
        <v>27.544145323255531</v>
      </c>
      <c r="F249">
        <f t="shared" si="22"/>
        <v>29.1466139076771</v>
      </c>
      <c r="G249">
        <f t="shared" si="23"/>
        <v>36.843353033620474</v>
      </c>
    </row>
    <row r="250" spans="1:7">
      <c r="A250">
        <v>237</v>
      </c>
      <c r="B250">
        <f t="shared" si="18"/>
        <v>25.156413831020057</v>
      </c>
      <c r="C250">
        <f t="shared" si="19"/>
        <v>20.347820971319994</v>
      </c>
      <c r="D250">
        <f t="shared" si="20"/>
        <v>28.694626324488844</v>
      </c>
      <c r="E250">
        <f t="shared" si="21"/>
        <v>27.622973718440758</v>
      </c>
      <c r="F250">
        <f t="shared" si="22"/>
        <v>29.202571212502974</v>
      </c>
      <c r="G250">
        <f t="shared" si="23"/>
        <v>36.957693245120758</v>
      </c>
    </row>
    <row r="251" spans="1:7">
      <c r="A251">
        <v>238</v>
      </c>
      <c r="B251">
        <f t="shared" si="18"/>
        <v>25.226408888793255</v>
      </c>
      <c r="C251">
        <f t="shared" si="19"/>
        <v>20.392413994051466</v>
      </c>
      <c r="D251">
        <f t="shared" si="20"/>
        <v>28.773624063209841</v>
      </c>
      <c r="E251">
        <f t="shared" si="21"/>
        <v>27.701694378302502</v>
      </c>
      <c r="F251">
        <f t="shared" si="22"/>
        <v>29.258399659057972</v>
      </c>
      <c r="G251">
        <f t="shared" si="23"/>
        <v>37.071904628321406</v>
      </c>
    </row>
    <row r="252" spans="1:7">
      <c r="A252">
        <v>239</v>
      </c>
      <c r="B252">
        <f t="shared" si="18"/>
        <v>25.296303995304768</v>
      </c>
      <c r="C252">
        <f t="shared" si="19"/>
        <v>20.436917156618666</v>
      </c>
      <c r="D252">
        <f t="shared" si="20"/>
        <v>28.852506691508857</v>
      </c>
      <c r="E252">
        <f t="shared" si="21"/>
        <v>27.780307901829477</v>
      </c>
      <c r="F252">
        <f t="shared" si="22"/>
        <v>29.314100083635193</v>
      </c>
      <c r="G252">
        <f t="shared" si="23"/>
        <v>37.18598786876035</v>
      </c>
    </row>
    <row r="253" spans="1:7">
      <c r="A253">
        <v>240</v>
      </c>
      <c r="B253">
        <f t="shared" si="18"/>
        <v>25.366099710597275</v>
      </c>
      <c r="C253">
        <f t="shared" si="19"/>
        <v>20.481331014952602</v>
      </c>
      <c r="D253">
        <f t="shared" si="20"/>
        <v>28.931274857703343</v>
      </c>
      <c r="E253">
        <f t="shared" si="21"/>
        <v>27.858814882189495</v>
      </c>
      <c r="F253">
        <f t="shared" si="22"/>
        <v>29.369673313627672</v>
      </c>
      <c r="G253">
        <f t="shared" si="23"/>
        <v>37.299943645475899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D26"/>
  <sheetViews>
    <sheetView workbookViewId="0">
      <selection activeCell="D11" sqref="D11"/>
    </sheetView>
  </sheetViews>
  <sheetFormatPr baseColWidth="10" defaultRowHeight="12.75"/>
  <cols>
    <col min="1" max="1" width="28" customWidth="1"/>
  </cols>
  <sheetData>
    <row r="1" spans="1:4">
      <c r="A1" s="173" t="s">
        <v>808</v>
      </c>
    </row>
    <row r="4" spans="1:4">
      <c r="A4" t="s">
        <v>804</v>
      </c>
    </row>
    <row r="6" spans="1:4">
      <c r="A6" t="s">
        <v>803</v>
      </c>
      <c r="B6">
        <v>56</v>
      </c>
      <c r="C6">
        <v>102</v>
      </c>
      <c r="D6">
        <v>80</v>
      </c>
    </row>
    <row r="7" spans="1:4">
      <c r="A7" t="s">
        <v>50</v>
      </c>
      <c r="B7">
        <v>21.33</v>
      </c>
      <c r="C7">
        <v>24</v>
      </c>
      <c r="D7">
        <v>22.65</v>
      </c>
    </row>
    <row r="8" spans="1:4">
      <c r="A8" t="s">
        <v>240</v>
      </c>
      <c r="B8">
        <v>19</v>
      </c>
      <c r="C8">
        <v>21.5</v>
      </c>
      <c r="D8">
        <v>23.5</v>
      </c>
    </row>
    <row r="9" spans="1:4">
      <c r="A9" t="s">
        <v>183</v>
      </c>
      <c r="B9">
        <v>3.6</v>
      </c>
      <c r="C9">
        <v>5.3</v>
      </c>
      <c r="D9">
        <v>5.0999999999999996</v>
      </c>
    </row>
    <row r="10" spans="1:4">
      <c r="A10" t="s">
        <v>805</v>
      </c>
      <c r="B10">
        <v>1609</v>
      </c>
      <c r="C10">
        <v>3409</v>
      </c>
      <c r="D10">
        <v>5252</v>
      </c>
    </row>
    <row r="11" spans="1:4">
      <c r="A11" t="s">
        <v>806</v>
      </c>
      <c r="B11">
        <v>59</v>
      </c>
      <c r="C11">
        <v>76</v>
      </c>
      <c r="D11">
        <v>90</v>
      </c>
    </row>
    <row r="12" spans="1:4">
      <c r="A12" t="s">
        <v>807</v>
      </c>
      <c r="B12">
        <v>56</v>
      </c>
      <c r="C12">
        <v>81</v>
      </c>
      <c r="D12">
        <v>92</v>
      </c>
    </row>
    <row r="26" spans="1:1">
      <c r="A26" s="175" t="s">
        <v>802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2:L288"/>
  <sheetViews>
    <sheetView topLeftCell="A219" workbookViewId="0">
      <selection activeCell="A278" sqref="A278"/>
    </sheetView>
  </sheetViews>
  <sheetFormatPr baseColWidth="10" defaultRowHeight="12.75"/>
  <cols>
    <col min="1" max="1" width="36.5703125" style="177" customWidth="1"/>
    <col min="2" max="2" width="11.85546875" style="177" customWidth="1"/>
    <col min="3" max="3" width="17.85546875" style="177" customWidth="1"/>
    <col min="4" max="4" width="12.140625" style="177" customWidth="1"/>
    <col min="5" max="5" width="7.140625" style="177" customWidth="1"/>
    <col min="6" max="6" width="6.85546875" style="177" customWidth="1"/>
    <col min="7" max="7" width="7.85546875" style="177" customWidth="1"/>
    <col min="8" max="8" width="9.140625" style="177" customWidth="1"/>
    <col min="9" max="10" width="4" style="177" bestFit="1" customWidth="1"/>
    <col min="11" max="11" width="3" style="177" bestFit="1" customWidth="1"/>
    <col min="12" max="12" width="19.85546875" style="177" bestFit="1" customWidth="1"/>
    <col min="13" max="16384" width="11.42578125" style="177"/>
  </cols>
  <sheetData>
    <row r="2" spans="1:8">
      <c r="A2" s="176" t="s">
        <v>857</v>
      </c>
    </row>
    <row r="3" spans="1:8">
      <c r="A3" s="178" t="s">
        <v>858</v>
      </c>
    </row>
    <row r="4" spans="1:8">
      <c r="A4" s="178" t="s">
        <v>859</v>
      </c>
    </row>
    <row r="5" spans="1:8">
      <c r="A5" s="178" t="s">
        <v>860</v>
      </c>
    </row>
    <row r="6" spans="1:8">
      <c r="A6" s="178" t="s">
        <v>861</v>
      </c>
    </row>
    <row r="7" spans="1:8">
      <c r="A7" s="178" t="s">
        <v>862</v>
      </c>
    </row>
    <row r="8" spans="1:8">
      <c r="A8" s="176" t="s">
        <v>1680</v>
      </c>
    </row>
    <row r="9" spans="1:8" ht="15.75">
      <c r="A9" s="176" t="s">
        <v>1001</v>
      </c>
    </row>
    <row r="10" spans="1:8">
      <c r="B10" s="178" t="s">
        <v>863</v>
      </c>
      <c r="C10" s="178" t="s">
        <v>864</v>
      </c>
      <c r="D10" s="178" t="s">
        <v>865</v>
      </c>
      <c r="E10" s="178" t="s">
        <v>866</v>
      </c>
      <c r="F10" s="178" t="s">
        <v>867</v>
      </c>
      <c r="G10" s="178" t="s">
        <v>868</v>
      </c>
      <c r="H10" s="178" t="s">
        <v>869</v>
      </c>
    </row>
    <row r="11" spans="1:8">
      <c r="A11" s="178" t="s">
        <v>870</v>
      </c>
      <c r="B11" s="181" t="s">
        <v>125</v>
      </c>
      <c r="C11" s="177">
        <v>1.3</v>
      </c>
      <c r="D11" s="177">
        <v>0.67</v>
      </c>
      <c r="E11" s="177">
        <v>0.67</v>
      </c>
      <c r="F11" s="177">
        <v>0.66</v>
      </c>
      <c r="G11" s="177">
        <v>0.62</v>
      </c>
      <c r="H11" s="177">
        <v>0.52</v>
      </c>
    </row>
    <row r="12" spans="1:8">
      <c r="A12" s="178" t="s">
        <v>871</v>
      </c>
      <c r="B12" s="181" t="s">
        <v>125</v>
      </c>
      <c r="C12" s="177">
        <v>1.1299999999999999</v>
      </c>
      <c r="D12" s="177">
        <v>0.71</v>
      </c>
      <c r="E12" s="177">
        <v>0.52</v>
      </c>
      <c r="F12" s="177">
        <v>0.47</v>
      </c>
      <c r="G12" s="177">
        <v>0.4</v>
      </c>
      <c r="H12" s="181" t="s">
        <v>125</v>
      </c>
    </row>
    <row r="13" spans="1:8">
      <c r="A13" s="178" t="s">
        <v>872</v>
      </c>
      <c r="B13" s="177">
        <v>2.58</v>
      </c>
      <c r="C13" s="177">
        <v>1.75</v>
      </c>
      <c r="D13" s="177">
        <v>1.5</v>
      </c>
      <c r="E13" s="177">
        <v>1.42</v>
      </c>
      <c r="F13" s="177">
        <v>1.38</v>
      </c>
      <c r="G13" s="177">
        <v>1.3</v>
      </c>
      <c r="H13" s="177">
        <v>1.84</v>
      </c>
    </row>
    <row r="14" spans="1:8">
      <c r="A14" s="176" t="s">
        <v>873</v>
      </c>
      <c r="B14" s="176">
        <v>1.98</v>
      </c>
      <c r="C14" s="176">
        <v>1.88</v>
      </c>
      <c r="D14" s="176">
        <v>1.82</v>
      </c>
      <c r="E14" s="176">
        <v>1.69</v>
      </c>
      <c r="F14" s="176">
        <v>1.61</v>
      </c>
      <c r="G14" s="176">
        <v>1.33</v>
      </c>
      <c r="H14" s="176">
        <v>1.82</v>
      </c>
    </row>
    <row r="16" spans="1:8">
      <c r="A16" s="178" t="s">
        <v>874</v>
      </c>
    </row>
    <row r="17" spans="1:6">
      <c r="A17" s="178" t="s">
        <v>1002</v>
      </c>
    </row>
    <row r="19" spans="1:6">
      <c r="A19" s="176" t="s">
        <v>875</v>
      </c>
    </row>
    <row r="20" spans="1:6" ht="14.25">
      <c r="A20" s="176" t="s">
        <v>1003</v>
      </c>
    </row>
    <row r="21" spans="1:6">
      <c r="A21" s="178" t="s">
        <v>876</v>
      </c>
    </row>
    <row r="22" spans="1:6">
      <c r="A22" s="176" t="s">
        <v>870</v>
      </c>
      <c r="B22" s="178" t="s">
        <v>877</v>
      </c>
      <c r="C22" s="178" t="s">
        <v>867</v>
      </c>
      <c r="D22" s="178" t="s">
        <v>868</v>
      </c>
    </row>
    <row r="23" spans="1:6">
      <c r="A23" s="178" t="s">
        <v>878</v>
      </c>
      <c r="B23" s="177">
        <v>15</v>
      </c>
      <c r="C23" s="177">
        <v>8</v>
      </c>
      <c r="D23" s="177">
        <v>14</v>
      </c>
    </row>
    <row r="24" spans="1:6">
      <c r="A24" s="178" t="s">
        <v>879</v>
      </c>
      <c r="B24" s="177">
        <v>3.4</v>
      </c>
      <c r="C24" s="177">
        <v>6.7</v>
      </c>
      <c r="D24" s="177">
        <v>4.3</v>
      </c>
    </row>
    <row r="25" spans="1:6">
      <c r="A25" s="178" t="s">
        <v>880</v>
      </c>
      <c r="B25" s="177">
        <v>0.7</v>
      </c>
      <c r="C25" s="177">
        <v>1</v>
      </c>
      <c r="D25" s="177">
        <v>1</v>
      </c>
    </row>
    <row r="26" spans="1:6">
      <c r="A26" s="178" t="s">
        <v>881</v>
      </c>
      <c r="B26" s="177">
        <v>21</v>
      </c>
      <c r="C26" s="177">
        <v>15</v>
      </c>
      <c r="D26" s="177">
        <v>23</v>
      </c>
    </row>
    <row r="27" spans="1:6">
      <c r="A27" s="176" t="s">
        <v>871</v>
      </c>
      <c r="B27" s="178" t="s">
        <v>864</v>
      </c>
      <c r="C27" s="178" t="s">
        <v>866</v>
      </c>
      <c r="D27" s="178" t="s">
        <v>868</v>
      </c>
    </row>
    <row r="28" spans="1:6">
      <c r="A28" s="178" t="s">
        <v>878</v>
      </c>
      <c r="B28" s="177">
        <v>18</v>
      </c>
      <c r="C28" s="177">
        <v>12</v>
      </c>
      <c r="D28" s="177">
        <v>13</v>
      </c>
      <c r="F28" s="178" t="s">
        <v>882</v>
      </c>
    </row>
    <row r="29" spans="1:6">
      <c r="A29" s="178" t="s">
        <v>879</v>
      </c>
      <c r="B29" s="177">
        <v>5.9</v>
      </c>
      <c r="C29" s="177">
        <v>7.2</v>
      </c>
      <c r="D29" s="177">
        <v>5.6</v>
      </c>
    </row>
    <row r="30" spans="1:6">
      <c r="A30" s="178" t="s">
        <v>880</v>
      </c>
      <c r="B30" s="177">
        <v>3.1</v>
      </c>
      <c r="C30" s="177">
        <v>0.6</v>
      </c>
      <c r="D30" s="177">
        <v>0.5</v>
      </c>
    </row>
    <row r="31" spans="1:6">
      <c r="A31" s="178" t="s">
        <v>881</v>
      </c>
      <c r="B31" s="177">
        <v>53</v>
      </c>
      <c r="C31" s="177">
        <v>8</v>
      </c>
      <c r="D31" s="177">
        <v>9</v>
      </c>
    </row>
    <row r="32" spans="1:6">
      <c r="A32" s="176" t="s">
        <v>883</v>
      </c>
      <c r="B32" s="178" t="s">
        <v>863</v>
      </c>
      <c r="C32" s="178" t="s">
        <v>865</v>
      </c>
      <c r="D32" s="178" t="s">
        <v>867</v>
      </c>
    </row>
    <row r="33" spans="1:5">
      <c r="A33" s="178" t="s">
        <v>878</v>
      </c>
      <c r="B33" s="177">
        <v>25</v>
      </c>
      <c r="C33" s="177">
        <v>9</v>
      </c>
      <c r="D33" s="177">
        <v>10</v>
      </c>
    </row>
    <row r="34" spans="1:5">
      <c r="A34" s="178" t="s">
        <v>879</v>
      </c>
      <c r="B34" s="177">
        <v>11.2</v>
      </c>
      <c r="C34" s="177">
        <v>11.2</v>
      </c>
      <c r="D34" s="177">
        <v>9</v>
      </c>
    </row>
    <row r="35" spans="1:5">
      <c r="A35" s="178" t="s">
        <v>880</v>
      </c>
      <c r="B35" s="177">
        <v>12.1</v>
      </c>
      <c r="C35" s="177">
        <v>4.2</v>
      </c>
      <c r="D35" s="177">
        <v>3.1</v>
      </c>
    </row>
    <row r="36" spans="1:5">
      <c r="A36" s="178" t="s">
        <v>881</v>
      </c>
      <c r="B36" s="177">
        <v>108</v>
      </c>
      <c r="C36" s="177">
        <v>38</v>
      </c>
      <c r="D36" s="177">
        <v>34</v>
      </c>
      <c r="E36" s="178" t="s">
        <v>884</v>
      </c>
    </row>
    <row r="37" spans="1:5">
      <c r="A37" s="176" t="s">
        <v>873</v>
      </c>
      <c r="B37" s="178" t="s">
        <v>864</v>
      </c>
      <c r="C37" s="178" t="s">
        <v>866</v>
      </c>
      <c r="D37" s="178" t="s">
        <v>868</v>
      </c>
    </row>
    <row r="38" spans="1:5">
      <c r="A38" s="178" t="s">
        <v>878</v>
      </c>
      <c r="B38" s="177">
        <v>8</v>
      </c>
      <c r="C38" s="177">
        <v>9</v>
      </c>
      <c r="D38" s="177">
        <v>9</v>
      </c>
    </row>
    <row r="39" spans="1:5">
      <c r="A39" s="178" t="s">
        <v>879</v>
      </c>
      <c r="B39" s="177">
        <v>11.7</v>
      </c>
      <c r="C39" s="177">
        <v>13.2</v>
      </c>
      <c r="D39" s="177">
        <v>8.8000000000000007</v>
      </c>
    </row>
    <row r="40" spans="1:5">
      <c r="A40" s="178" t="s">
        <v>880</v>
      </c>
      <c r="B40" s="177">
        <v>3.4</v>
      </c>
      <c r="C40" s="177">
        <v>1.9</v>
      </c>
      <c r="D40" s="177">
        <v>-1.3</v>
      </c>
    </row>
    <row r="41" spans="1:5">
      <c r="A41" s="178" t="s">
        <v>881</v>
      </c>
      <c r="B41" s="177">
        <v>29</v>
      </c>
      <c r="C41" s="177">
        <v>14</v>
      </c>
      <c r="D41" s="178" t="s">
        <v>125</v>
      </c>
    </row>
    <row r="43" spans="1:5">
      <c r="A43" s="178" t="s">
        <v>885</v>
      </c>
    </row>
    <row r="45" spans="1:5">
      <c r="A45" s="176" t="s">
        <v>886</v>
      </c>
    </row>
    <row r="46" spans="1:5">
      <c r="A46" s="178" t="s">
        <v>887</v>
      </c>
    </row>
    <row r="48" spans="1:5">
      <c r="A48" s="176" t="s">
        <v>888</v>
      </c>
    </row>
    <row r="49" spans="1:10">
      <c r="A49" s="176" t="s">
        <v>1004</v>
      </c>
    </row>
    <row r="50" spans="1:10">
      <c r="A50" s="178" t="s">
        <v>889</v>
      </c>
    </row>
    <row r="51" spans="1:10">
      <c r="A51" s="176"/>
      <c r="B51" s="176" t="s">
        <v>863</v>
      </c>
      <c r="C51" s="176"/>
      <c r="D51" s="176"/>
      <c r="E51" s="176" t="s">
        <v>865</v>
      </c>
      <c r="F51" s="176"/>
      <c r="G51" s="176"/>
      <c r="H51" s="176" t="s">
        <v>890</v>
      </c>
      <c r="I51" s="176"/>
      <c r="J51" s="176"/>
    </row>
    <row r="52" spans="1:10">
      <c r="A52" s="176" t="s">
        <v>891</v>
      </c>
      <c r="B52" s="176">
        <v>15</v>
      </c>
      <c r="C52" s="176">
        <v>20</v>
      </c>
      <c r="D52" s="176">
        <v>25</v>
      </c>
      <c r="E52" s="176">
        <v>15</v>
      </c>
      <c r="F52" s="176">
        <v>20</v>
      </c>
      <c r="G52" s="176">
        <v>25</v>
      </c>
      <c r="H52" s="176">
        <v>10</v>
      </c>
      <c r="I52" s="176">
        <v>15</v>
      </c>
      <c r="J52" s="176">
        <v>20</v>
      </c>
    </row>
    <row r="53" spans="1:10">
      <c r="A53" s="178" t="s">
        <v>870</v>
      </c>
      <c r="B53" s="177">
        <v>36</v>
      </c>
      <c r="C53" s="177">
        <v>45</v>
      </c>
      <c r="D53" s="178" t="s">
        <v>125</v>
      </c>
      <c r="E53" s="177">
        <v>75</v>
      </c>
      <c r="F53" s="177">
        <v>107</v>
      </c>
      <c r="G53" s="177">
        <v>139</v>
      </c>
      <c r="H53" s="177">
        <v>60</v>
      </c>
      <c r="I53" s="177">
        <v>72</v>
      </c>
      <c r="J53" s="177">
        <v>86</v>
      </c>
    </row>
    <row r="54" spans="1:10">
      <c r="A54" s="178" t="s">
        <v>871</v>
      </c>
      <c r="B54" s="177">
        <v>27</v>
      </c>
      <c r="C54" s="177">
        <v>38</v>
      </c>
      <c r="D54" s="178" t="s">
        <v>125</v>
      </c>
      <c r="E54" s="177">
        <v>33</v>
      </c>
      <c r="F54" s="177">
        <v>55</v>
      </c>
      <c r="G54" s="177">
        <v>77</v>
      </c>
      <c r="H54" s="177">
        <v>44</v>
      </c>
      <c r="I54" s="177">
        <v>47</v>
      </c>
      <c r="J54" s="177">
        <v>50</v>
      </c>
    </row>
    <row r="55" spans="1:10">
      <c r="A55" s="178" t="s">
        <v>883</v>
      </c>
      <c r="B55" s="182">
        <v>79</v>
      </c>
      <c r="C55" s="182">
        <v>128</v>
      </c>
      <c r="D55" s="182">
        <v>178</v>
      </c>
      <c r="E55" s="182">
        <v>160</v>
      </c>
      <c r="F55" s="182">
        <v>197</v>
      </c>
      <c r="G55" s="182">
        <v>234</v>
      </c>
      <c r="H55" s="182">
        <v>132</v>
      </c>
      <c r="I55" s="182">
        <v>150</v>
      </c>
      <c r="J55" s="182">
        <v>166</v>
      </c>
    </row>
    <row r="56" spans="1:10">
      <c r="A56" s="176" t="s">
        <v>873</v>
      </c>
      <c r="B56" s="182">
        <v>74</v>
      </c>
      <c r="C56" s="182">
        <v>92</v>
      </c>
      <c r="D56" s="182">
        <v>112</v>
      </c>
      <c r="E56" s="182">
        <v>162</v>
      </c>
      <c r="F56" s="182">
        <v>187</v>
      </c>
      <c r="G56" s="182">
        <v>206</v>
      </c>
      <c r="H56" s="182">
        <v>74</v>
      </c>
      <c r="I56" s="182">
        <v>88</v>
      </c>
      <c r="J56" s="182">
        <v>106</v>
      </c>
    </row>
    <row r="58" spans="1:10">
      <c r="A58" s="176" t="s">
        <v>892</v>
      </c>
      <c r="B58" s="178" t="s">
        <v>893</v>
      </c>
    </row>
    <row r="59" spans="1:10">
      <c r="A59" s="178" t="s">
        <v>870</v>
      </c>
      <c r="B59" s="177">
        <v>68</v>
      </c>
    </row>
    <row r="60" spans="1:10">
      <c r="A60" s="178" t="s">
        <v>871</v>
      </c>
      <c r="B60" s="177">
        <v>51</v>
      </c>
    </row>
    <row r="61" spans="1:10">
      <c r="A61" s="178" t="s">
        <v>883</v>
      </c>
      <c r="B61" s="177">
        <v>155</v>
      </c>
    </row>
    <row r="62" spans="1:10">
      <c r="A62" s="176" t="s">
        <v>873</v>
      </c>
      <c r="B62" s="177">
        <v>150</v>
      </c>
    </row>
    <row r="64" spans="1:10">
      <c r="A64" s="176" t="s">
        <v>894</v>
      </c>
    </row>
    <row r="65" spans="1:4">
      <c r="A65" s="178" t="s">
        <v>895</v>
      </c>
    </row>
    <row r="66" spans="1:4">
      <c r="A66" s="178"/>
      <c r="B66" s="183" t="s">
        <v>896</v>
      </c>
    </row>
    <row r="68" spans="1:4">
      <c r="A68" s="176" t="s">
        <v>897</v>
      </c>
    </row>
    <row r="69" spans="1:4" ht="14.25">
      <c r="A69" s="176" t="s">
        <v>1005</v>
      </c>
    </row>
    <row r="70" spans="1:4">
      <c r="A70" s="178" t="s">
        <v>876</v>
      </c>
    </row>
    <row r="71" spans="1:4">
      <c r="A71" s="178" t="s">
        <v>898</v>
      </c>
    </row>
    <row r="72" spans="1:4">
      <c r="A72" s="176" t="s">
        <v>870</v>
      </c>
      <c r="B72" s="178" t="s">
        <v>877</v>
      </c>
      <c r="C72" s="178" t="s">
        <v>867</v>
      </c>
      <c r="D72" s="178" t="s">
        <v>868</v>
      </c>
    </row>
    <row r="73" spans="1:4">
      <c r="A73" s="178" t="s">
        <v>878</v>
      </c>
      <c r="B73" s="177">
        <v>15</v>
      </c>
      <c r="C73" s="177">
        <v>8</v>
      </c>
      <c r="D73" s="177">
        <v>14</v>
      </c>
    </row>
    <row r="74" spans="1:4">
      <c r="A74" s="178" t="s">
        <v>879</v>
      </c>
      <c r="B74" s="177">
        <v>537</v>
      </c>
      <c r="C74" s="177">
        <v>626</v>
      </c>
      <c r="D74" s="177">
        <v>706</v>
      </c>
    </row>
    <row r="75" spans="1:4">
      <c r="A75" s="178" t="s">
        <v>880</v>
      </c>
      <c r="B75" s="177">
        <v>161</v>
      </c>
      <c r="C75" s="177">
        <v>114</v>
      </c>
      <c r="D75" s="177">
        <v>162</v>
      </c>
    </row>
    <row r="76" spans="1:4">
      <c r="A76" s="178" t="s">
        <v>881</v>
      </c>
      <c r="B76" s="177">
        <v>30</v>
      </c>
      <c r="C76" s="177">
        <v>18</v>
      </c>
      <c r="D76" s="177">
        <v>23</v>
      </c>
    </row>
    <row r="77" spans="1:4">
      <c r="A77" s="176" t="s">
        <v>871</v>
      </c>
      <c r="B77" s="178" t="s">
        <v>864</v>
      </c>
      <c r="C77" s="178" t="s">
        <v>866</v>
      </c>
      <c r="D77" s="178" t="s">
        <v>868</v>
      </c>
    </row>
    <row r="78" spans="1:4">
      <c r="A78" s="178" t="s">
        <v>878</v>
      </c>
      <c r="B78" s="177">
        <v>18</v>
      </c>
      <c r="C78" s="177">
        <v>12</v>
      </c>
      <c r="D78" s="177">
        <v>13</v>
      </c>
    </row>
    <row r="79" spans="1:4">
      <c r="A79" s="178" t="s">
        <v>879</v>
      </c>
      <c r="B79" s="177">
        <v>492</v>
      </c>
      <c r="C79" s="177">
        <v>1114</v>
      </c>
      <c r="D79" s="177">
        <v>445</v>
      </c>
    </row>
    <row r="80" spans="1:4">
      <c r="A80" s="178" t="s">
        <v>880</v>
      </c>
      <c r="B80" s="177">
        <v>210</v>
      </c>
      <c r="C80" s="177">
        <v>191</v>
      </c>
      <c r="D80" s="177">
        <v>93</v>
      </c>
    </row>
    <row r="81" spans="1:5">
      <c r="A81" s="178" t="s">
        <v>881</v>
      </c>
      <c r="B81" s="177">
        <v>43</v>
      </c>
      <c r="C81" s="177">
        <v>17</v>
      </c>
      <c r="D81" s="177">
        <v>21</v>
      </c>
    </row>
    <row r="82" spans="1:5">
      <c r="A82" s="176" t="s">
        <v>883</v>
      </c>
      <c r="B82" s="178" t="s">
        <v>863</v>
      </c>
      <c r="C82" s="178" t="s">
        <v>865</v>
      </c>
      <c r="D82" s="178" t="s">
        <v>867</v>
      </c>
    </row>
    <row r="83" spans="1:5">
      <c r="A83" s="178" t="s">
        <v>878</v>
      </c>
      <c r="B83" s="177">
        <v>25</v>
      </c>
      <c r="C83" s="177">
        <v>9</v>
      </c>
      <c r="D83" s="177">
        <v>10</v>
      </c>
    </row>
    <row r="84" spans="1:5">
      <c r="A84" s="178" t="s">
        <v>879</v>
      </c>
      <c r="B84" s="177">
        <v>1629</v>
      </c>
      <c r="C84" s="177">
        <v>2096</v>
      </c>
      <c r="D84" s="177">
        <v>1077</v>
      </c>
    </row>
    <row r="85" spans="1:5">
      <c r="A85" s="178" t="s">
        <v>880</v>
      </c>
      <c r="B85" s="177">
        <v>1160</v>
      </c>
      <c r="C85" s="177">
        <v>975</v>
      </c>
      <c r="D85" s="177">
        <v>452</v>
      </c>
    </row>
    <row r="86" spans="1:5">
      <c r="A86" s="178" t="s">
        <v>881</v>
      </c>
      <c r="B86" s="177">
        <v>71</v>
      </c>
      <c r="C86" s="177">
        <v>47</v>
      </c>
      <c r="D86" s="177">
        <v>42</v>
      </c>
      <c r="E86" s="178" t="s">
        <v>899</v>
      </c>
    </row>
    <row r="87" spans="1:5">
      <c r="A87" s="176" t="s">
        <v>873</v>
      </c>
      <c r="B87" s="178" t="s">
        <v>864</v>
      </c>
      <c r="C87" s="178" t="s">
        <v>866</v>
      </c>
      <c r="D87" s="178" t="s">
        <v>868</v>
      </c>
    </row>
    <row r="88" spans="1:5">
      <c r="A88" s="178" t="s">
        <v>878</v>
      </c>
      <c r="B88" s="177">
        <v>8</v>
      </c>
      <c r="C88" s="177">
        <v>9</v>
      </c>
      <c r="D88" s="177">
        <v>9</v>
      </c>
    </row>
    <row r="89" spans="1:5">
      <c r="A89" s="178" t="s">
        <v>879</v>
      </c>
      <c r="B89" s="177">
        <v>999</v>
      </c>
      <c r="C89" s="177">
        <v>2475</v>
      </c>
      <c r="D89" s="177">
        <v>970</v>
      </c>
    </row>
    <row r="90" spans="1:5">
      <c r="A90" s="178" t="s">
        <v>880</v>
      </c>
      <c r="B90" s="177">
        <v>552</v>
      </c>
      <c r="C90" s="177">
        <v>567</v>
      </c>
      <c r="D90" s="177">
        <v>61</v>
      </c>
    </row>
    <row r="91" spans="1:5">
      <c r="A91" s="178" t="s">
        <v>881</v>
      </c>
      <c r="B91" s="177">
        <v>55</v>
      </c>
      <c r="C91" s="177">
        <v>23</v>
      </c>
      <c r="D91" s="178">
        <v>6</v>
      </c>
    </row>
    <row r="93" spans="1:5">
      <c r="A93" s="176" t="s">
        <v>900</v>
      </c>
    </row>
    <row r="94" spans="1:5">
      <c r="A94" s="178" t="s">
        <v>901</v>
      </c>
    </row>
    <row r="95" spans="1:5">
      <c r="A95" s="178" t="s">
        <v>902</v>
      </c>
    </row>
    <row r="97" spans="1:6">
      <c r="A97" s="176" t="s">
        <v>903</v>
      </c>
    </row>
    <row r="98" spans="1:6" ht="14.25">
      <c r="A98" s="182" t="s">
        <v>1006</v>
      </c>
    </row>
    <row r="100" spans="1:6">
      <c r="A100" s="176" t="s">
        <v>904</v>
      </c>
    </row>
    <row r="101" spans="1:6">
      <c r="A101" s="176" t="s">
        <v>1007</v>
      </c>
    </row>
    <row r="102" spans="1:6" ht="15.75">
      <c r="A102" s="178" t="s">
        <v>870</v>
      </c>
      <c r="B102" s="177">
        <v>1.19</v>
      </c>
      <c r="C102" s="177" t="s">
        <v>905</v>
      </c>
      <c r="D102" s="178" t="s">
        <v>906</v>
      </c>
      <c r="E102" s="177">
        <v>0.93</v>
      </c>
      <c r="F102" s="178" t="s">
        <v>1008</v>
      </c>
    </row>
    <row r="103" spans="1:6" ht="15.75">
      <c r="A103" s="178" t="s">
        <v>871</v>
      </c>
      <c r="B103" s="177">
        <v>1.2</v>
      </c>
      <c r="C103" s="177" t="s">
        <v>905</v>
      </c>
      <c r="D103" s="178" t="s">
        <v>906</v>
      </c>
      <c r="E103" s="177">
        <v>0.78</v>
      </c>
      <c r="F103" s="178" t="s">
        <v>1008</v>
      </c>
    </row>
    <row r="104" spans="1:6" ht="15.75">
      <c r="A104" s="178" t="s">
        <v>883</v>
      </c>
      <c r="B104" s="177">
        <v>1.02</v>
      </c>
      <c r="C104" s="177" t="s">
        <v>905</v>
      </c>
      <c r="D104" s="178" t="s">
        <v>906</v>
      </c>
      <c r="E104" s="177">
        <v>1.5</v>
      </c>
      <c r="F104" s="178" t="s">
        <v>1008</v>
      </c>
    </row>
    <row r="105" spans="1:6" ht="15.75">
      <c r="A105" s="176" t="s">
        <v>873</v>
      </c>
      <c r="B105" s="177">
        <v>1.42</v>
      </c>
      <c r="C105" s="177" t="s">
        <v>905</v>
      </c>
      <c r="D105" s="178" t="s">
        <v>906</v>
      </c>
      <c r="E105" s="177">
        <v>2.37</v>
      </c>
      <c r="F105" s="178" t="s">
        <v>1008</v>
      </c>
    </row>
    <row r="106" spans="1:6">
      <c r="A106" s="176"/>
      <c r="D106" s="178"/>
      <c r="F106" s="178"/>
    </row>
    <row r="107" spans="1:6">
      <c r="A107" s="176" t="s">
        <v>907</v>
      </c>
      <c r="D107" s="178"/>
      <c r="F107" s="178"/>
    </row>
    <row r="108" spans="1:6">
      <c r="A108" s="176" t="s">
        <v>1009</v>
      </c>
      <c r="D108" s="178"/>
      <c r="F108" s="178"/>
    </row>
    <row r="109" spans="1:6">
      <c r="A109" s="176"/>
      <c r="D109" s="178"/>
      <c r="F109" s="178"/>
    </row>
    <row r="110" spans="1:6">
      <c r="A110" s="176" t="s">
        <v>908</v>
      </c>
      <c r="D110" s="178"/>
      <c r="F110" s="178"/>
    </row>
    <row r="111" spans="1:6" ht="14.25">
      <c r="A111" s="176" t="s">
        <v>1010</v>
      </c>
      <c r="F111" s="178"/>
    </row>
    <row r="112" spans="1:6">
      <c r="A112" s="178" t="s">
        <v>909</v>
      </c>
      <c r="F112" s="178"/>
    </row>
    <row r="113" spans="1:6">
      <c r="A113" s="178"/>
      <c r="F113" s="178"/>
    </row>
    <row r="114" spans="1:6">
      <c r="A114" s="176" t="s">
        <v>870</v>
      </c>
      <c r="B114" s="178" t="s">
        <v>877</v>
      </c>
      <c r="C114" s="178" t="s">
        <v>867</v>
      </c>
      <c r="D114" s="178" t="s">
        <v>868</v>
      </c>
      <c r="F114" s="178"/>
    </row>
    <row r="115" spans="1:6">
      <c r="A115" s="178" t="s">
        <v>879</v>
      </c>
      <c r="B115" s="177">
        <v>0.5</v>
      </c>
      <c r="C115" s="177">
        <v>0.5</v>
      </c>
      <c r="D115" s="177">
        <v>0.39</v>
      </c>
      <c r="F115" s="178"/>
    </row>
    <row r="116" spans="1:6">
      <c r="A116" s="178" t="s">
        <v>880</v>
      </c>
      <c r="B116" s="177">
        <v>0.08</v>
      </c>
      <c r="C116" s="177">
        <v>0.09</v>
      </c>
      <c r="D116" s="177">
        <v>0.08</v>
      </c>
      <c r="F116" s="178" t="s">
        <v>910</v>
      </c>
    </row>
    <row r="117" spans="1:6">
      <c r="A117" s="178" t="s">
        <v>881</v>
      </c>
      <c r="B117" s="177">
        <v>16</v>
      </c>
      <c r="C117" s="177">
        <v>18</v>
      </c>
      <c r="D117" s="177">
        <v>21</v>
      </c>
      <c r="F117" s="178" t="s">
        <v>911</v>
      </c>
    </row>
    <row r="118" spans="1:6">
      <c r="A118" s="176" t="s">
        <v>871</v>
      </c>
      <c r="B118" s="178" t="s">
        <v>864</v>
      </c>
      <c r="C118" s="178" t="s">
        <v>866</v>
      </c>
      <c r="D118" s="178" t="s">
        <v>868</v>
      </c>
      <c r="F118" s="178"/>
    </row>
    <row r="119" spans="1:6">
      <c r="A119" s="178" t="s">
        <v>879</v>
      </c>
      <c r="B119" s="177">
        <v>1.0900000000000001</v>
      </c>
      <c r="C119" s="177">
        <v>0.55000000000000004</v>
      </c>
      <c r="D119" s="177">
        <v>0.37</v>
      </c>
      <c r="F119" s="178"/>
    </row>
    <row r="120" spans="1:6">
      <c r="A120" s="178" t="s">
        <v>880</v>
      </c>
      <c r="B120" s="177">
        <v>0.37</v>
      </c>
      <c r="C120" s="177">
        <v>0.13</v>
      </c>
      <c r="D120" s="177">
        <v>0.14000000000000001</v>
      </c>
      <c r="F120" s="178"/>
    </row>
    <row r="121" spans="1:6">
      <c r="A121" s="178" t="s">
        <v>881</v>
      </c>
      <c r="B121" s="177">
        <v>34</v>
      </c>
      <c r="C121" s="177">
        <v>24</v>
      </c>
      <c r="D121" s="177">
        <v>38</v>
      </c>
      <c r="F121" s="178"/>
    </row>
    <row r="122" spans="1:6">
      <c r="A122" s="176" t="s">
        <v>883</v>
      </c>
      <c r="B122" s="178" t="s">
        <v>863</v>
      </c>
      <c r="C122" s="178" t="s">
        <v>865</v>
      </c>
      <c r="D122" s="178" t="s">
        <v>867</v>
      </c>
      <c r="F122" s="178"/>
    </row>
    <row r="123" spans="1:6">
      <c r="A123" s="178" t="s">
        <v>879</v>
      </c>
      <c r="B123" s="177">
        <v>1.22</v>
      </c>
      <c r="C123" s="177">
        <v>0.62</v>
      </c>
      <c r="D123" s="177">
        <v>0.59</v>
      </c>
      <c r="F123" s="178"/>
    </row>
    <row r="124" spans="1:6">
      <c r="A124" s="178" t="s">
        <v>880</v>
      </c>
      <c r="B124" s="177">
        <v>0.6</v>
      </c>
      <c r="C124" s="177">
        <v>0.27</v>
      </c>
      <c r="D124" s="177">
        <v>0.25</v>
      </c>
      <c r="F124" s="178"/>
    </row>
    <row r="125" spans="1:6">
      <c r="A125" s="178" t="s">
        <v>881</v>
      </c>
      <c r="B125" s="177">
        <v>49</v>
      </c>
      <c r="C125" s="177">
        <v>44</v>
      </c>
      <c r="D125" s="177">
        <v>42</v>
      </c>
      <c r="F125" s="178"/>
    </row>
    <row r="126" spans="1:6">
      <c r="A126" s="176" t="s">
        <v>873</v>
      </c>
      <c r="B126" s="178" t="s">
        <v>864</v>
      </c>
      <c r="C126" s="178" t="s">
        <v>866</v>
      </c>
      <c r="D126" s="178" t="s">
        <v>868</v>
      </c>
      <c r="F126" s="178"/>
    </row>
    <row r="127" spans="1:6">
      <c r="A127" s="178" t="s">
        <v>879</v>
      </c>
      <c r="B127" s="177">
        <v>2.97</v>
      </c>
      <c r="C127" s="177">
        <v>0.91</v>
      </c>
      <c r="D127" s="177">
        <v>0.62</v>
      </c>
      <c r="F127" s="178"/>
    </row>
    <row r="128" spans="1:6">
      <c r="A128" s="178" t="s">
        <v>880</v>
      </c>
      <c r="B128" s="177">
        <v>1.59</v>
      </c>
      <c r="C128" s="177">
        <v>0.52</v>
      </c>
      <c r="D128" s="177">
        <v>0.5</v>
      </c>
      <c r="F128" s="178"/>
    </row>
    <row r="129" spans="1:6">
      <c r="A129" s="178" t="s">
        <v>881</v>
      </c>
      <c r="B129" s="177">
        <v>54</v>
      </c>
      <c r="C129" s="177">
        <v>57</v>
      </c>
      <c r="D129" s="178">
        <v>81</v>
      </c>
      <c r="F129" s="178"/>
    </row>
    <row r="130" spans="1:6">
      <c r="A130" s="178"/>
      <c r="D130" s="178"/>
      <c r="F130" s="178"/>
    </row>
    <row r="131" spans="1:6">
      <c r="A131" s="176" t="s">
        <v>912</v>
      </c>
      <c r="D131" s="178"/>
      <c r="F131" s="178"/>
    </row>
    <row r="132" spans="1:6" ht="15.75">
      <c r="A132" s="176" t="s">
        <v>1011</v>
      </c>
      <c r="D132" s="178" t="s">
        <v>913</v>
      </c>
      <c r="F132" s="178"/>
    </row>
    <row r="133" spans="1:6">
      <c r="A133" s="178" t="s">
        <v>914</v>
      </c>
      <c r="D133" s="178"/>
      <c r="F133" s="178"/>
    </row>
    <row r="134" spans="1:6">
      <c r="A134" s="178" t="s">
        <v>915</v>
      </c>
      <c r="B134" s="177">
        <v>3</v>
      </c>
      <c r="C134" s="177">
        <v>7</v>
      </c>
      <c r="D134" s="178">
        <v>10</v>
      </c>
      <c r="E134" s="177">
        <v>13</v>
      </c>
      <c r="F134" s="178" t="s">
        <v>916</v>
      </c>
    </row>
    <row r="135" spans="1:6">
      <c r="A135" s="178" t="s">
        <v>870</v>
      </c>
      <c r="B135" s="177">
        <v>0.24</v>
      </c>
      <c r="C135" s="177">
        <v>0.19</v>
      </c>
      <c r="D135" s="178">
        <v>0.2</v>
      </c>
      <c r="E135" s="177">
        <v>0.21</v>
      </c>
      <c r="F135" s="178">
        <v>0.21</v>
      </c>
    </row>
    <row r="136" spans="1:6">
      <c r="A136" s="178" t="s">
        <v>871</v>
      </c>
      <c r="B136" s="177">
        <v>0.24</v>
      </c>
      <c r="C136" s="177">
        <v>0.22</v>
      </c>
      <c r="D136" s="178">
        <v>0.18</v>
      </c>
      <c r="E136" s="177">
        <v>0.13</v>
      </c>
      <c r="F136" s="178">
        <v>0.19</v>
      </c>
    </row>
    <row r="137" spans="1:6">
      <c r="A137" s="178" t="s">
        <v>883</v>
      </c>
      <c r="B137" s="177">
        <v>0.15</v>
      </c>
      <c r="C137" s="177">
        <v>0.32</v>
      </c>
      <c r="D137" s="178">
        <v>0.13</v>
      </c>
      <c r="E137" s="177">
        <v>0.19</v>
      </c>
      <c r="F137" s="178">
        <v>0.2</v>
      </c>
    </row>
    <row r="138" spans="1:6">
      <c r="A138" s="178" t="s">
        <v>873</v>
      </c>
      <c r="B138" s="177">
        <v>0.41</v>
      </c>
      <c r="C138" s="177">
        <v>0.34</v>
      </c>
      <c r="D138" s="178">
        <v>0.28000000000000003</v>
      </c>
      <c r="E138" s="177">
        <v>0.28000000000000003</v>
      </c>
      <c r="F138" s="178">
        <v>0.33</v>
      </c>
    </row>
    <row r="139" spans="1:6">
      <c r="A139" s="178"/>
      <c r="D139" s="178"/>
      <c r="F139" s="178"/>
    </row>
    <row r="140" spans="1:6">
      <c r="A140" s="182" t="s">
        <v>917</v>
      </c>
      <c r="D140" s="178"/>
      <c r="F140" s="178"/>
    </row>
    <row r="141" spans="1:6">
      <c r="A141" s="178" t="s">
        <v>915</v>
      </c>
      <c r="B141" s="177">
        <v>7</v>
      </c>
      <c r="C141" s="177">
        <v>10</v>
      </c>
      <c r="D141" s="178">
        <v>13</v>
      </c>
      <c r="E141" s="177">
        <v>16</v>
      </c>
      <c r="F141" s="178" t="s">
        <v>916</v>
      </c>
    </row>
    <row r="142" spans="1:6">
      <c r="A142" s="178" t="s">
        <v>870</v>
      </c>
      <c r="B142" s="177">
        <v>0.22</v>
      </c>
      <c r="C142" s="177">
        <v>0.13</v>
      </c>
      <c r="D142" s="178">
        <v>0.22</v>
      </c>
      <c r="E142" s="177">
        <v>0.2</v>
      </c>
      <c r="F142" s="178">
        <v>0.19</v>
      </c>
    </row>
    <row r="143" spans="1:6">
      <c r="A143" s="178" t="s">
        <v>871</v>
      </c>
      <c r="B143" s="177">
        <v>0.14000000000000001</v>
      </c>
      <c r="C143" s="177">
        <v>0.16</v>
      </c>
      <c r="D143" s="178">
        <v>0.13</v>
      </c>
      <c r="E143" s="177">
        <v>0.21</v>
      </c>
      <c r="F143" s="178">
        <v>0.16</v>
      </c>
    </row>
    <row r="144" spans="1:6">
      <c r="A144" s="178" t="s">
        <v>883</v>
      </c>
      <c r="B144" s="177">
        <v>0.23</v>
      </c>
      <c r="C144" s="177">
        <v>0.26</v>
      </c>
      <c r="D144" s="178">
        <v>0.27</v>
      </c>
      <c r="E144" s="177">
        <v>0.2</v>
      </c>
      <c r="F144" s="178">
        <v>0.24</v>
      </c>
    </row>
    <row r="145" spans="1:6" ht="13.5" customHeight="1">
      <c r="A145" s="178" t="s">
        <v>873</v>
      </c>
      <c r="B145" s="177">
        <v>0.44</v>
      </c>
      <c r="C145" s="177">
        <v>0.35</v>
      </c>
      <c r="D145" s="178">
        <v>0.38</v>
      </c>
      <c r="E145" s="177">
        <v>0.46</v>
      </c>
      <c r="F145" s="178">
        <v>0.41</v>
      </c>
    </row>
    <row r="146" spans="1:6" ht="13.5" customHeight="1">
      <c r="A146" s="178"/>
      <c r="D146" s="178"/>
      <c r="F146" s="178"/>
    </row>
    <row r="147" spans="1:6" ht="13.5" customHeight="1">
      <c r="A147" s="178" t="s">
        <v>915</v>
      </c>
      <c r="B147" s="177">
        <v>12</v>
      </c>
      <c r="C147" s="177">
        <v>16</v>
      </c>
      <c r="D147" s="178">
        <v>22</v>
      </c>
      <c r="E147" s="177">
        <v>26</v>
      </c>
      <c r="F147" s="178" t="s">
        <v>916</v>
      </c>
    </row>
    <row r="148" spans="1:6" ht="13.5" customHeight="1">
      <c r="A148" s="178" t="s">
        <v>870</v>
      </c>
      <c r="B148" s="177">
        <v>0.14000000000000001</v>
      </c>
      <c r="C148" s="177">
        <v>0.2</v>
      </c>
      <c r="D148" s="178">
        <v>0.35</v>
      </c>
      <c r="E148" s="177">
        <v>0.32</v>
      </c>
      <c r="F148" s="178">
        <v>0.25</v>
      </c>
    </row>
    <row r="149" spans="1:6" ht="13.5" customHeight="1">
      <c r="A149" s="178"/>
      <c r="D149" s="178"/>
      <c r="F149" s="178"/>
    </row>
    <row r="150" spans="1:6" ht="13.5" customHeight="1">
      <c r="A150" s="176" t="s">
        <v>918</v>
      </c>
      <c r="D150" s="178"/>
      <c r="F150" s="178"/>
    </row>
    <row r="151" spans="1:6" ht="13.5" customHeight="1">
      <c r="A151" s="178" t="s">
        <v>919</v>
      </c>
      <c r="D151" s="178"/>
      <c r="F151" s="178"/>
    </row>
    <row r="152" spans="1:6" ht="13.5" customHeight="1">
      <c r="A152" s="178"/>
      <c r="D152" s="178"/>
      <c r="F152" s="178"/>
    </row>
    <row r="153" spans="1:6" ht="13.5" customHeight="1">
      <c r="A153" s="176" t="s">
        <v>920</v>
      </c>
      <c r="D153" s="178"/>
      <c r="F153" s="178"/>
    </row>
    <row r="154" spans="1:6" ht="13.5" customHeight="1">
      <c r="A154" s="178" t="s">
        <v>921</v>
      </c>
      <c r="D154" s="178"/>
      <c r="F154" s="178"/>
    </row>
    <row r="155" spans="1:6" ht="13.5" customHeight="1">
      <c r="A155" s="178"/>
      <c r="D155" s="178"/>
      <c r="F155" s="178"/>
    </row>
    <row r="156" spans="1:6" ht="13.5" customHeight="1">
      <c r="A156" s="176" t="s">
        <v>922</v>
      </c>
      <c r="D156" s="178"/>
      <c r="F156" s="178"/>
    </row>
    <row r="157" spans="1:6" ht="13.5" customHeight="1">
      <c r="A157" s="178"/>
      <c r="B157" s="178" t="s">
        <v>923</v>
      </c>
      <c r="C157" s="178" t="s">
        <v>924</v>
      </c>
      <c r="D157" s="178" t="s">
        <v>925</v>
      </c>
      <c r="E157" s="178" t="s">
        <v>926</v>
      </c>
      <c r="F157" s="178"/>
    </row>
    <row r="158" spans="1:6" ht="13.5" customHeight="1">
      <c r="A158" s="178" t="s">
        <v>870</v>
      </c>
      <c r="B158" s="177">
        <v>23</v>
      </c>
      <c r="C158" s="177">
        <v>31</v>
      </c>
      <c r="D158" s="178">
        <v>26</v>
      </c>
      <c r="E158" s="177">
        <v>20</v>
      </c>
      <c r="F158" s="178"/>
    </row>
    <row r="159" spans="1:6">
      <c r="A159" s="182" t="s">
        <v>871</v>
      </c>
      <c r="B159" s="177">
        <v>30</v>
      </c>
      <c r="C159" s="177">
        <v>29</v>
      </c>
      <c r="D159" s="177">
        <v>28</v>
      </c>
      <c r="E159" s="177">
        <v>13</v>
      </c>
    </row>
    <row r="160" spans="1:6">
      <c r="A160" s="182"/>
    </row>
    <row r="161" spans="1:12">
      <c r="A161" s="176" t="s">
        <v>927</v>
      </c>
    </row>
    <row r="162" spans="1:12" ht="14.25">
      <c r="A162" s="176" t="s">
        <v>1014</v>
      </c>
    </row>
    <row r="163" spans="1:12">
      <c r="A163" s="182"/>
    </row>
    <row r="164" spans="1:12">
      <c r="A164" s="176" t="s">
        <v>928</v>
      </c>
    </row>
    <row r="165" spans="1:12">
      <c r="A165" s="182" t="s">
        <v>1015</v>
      </c>
      <c r="H165" s="183" t="s">
        <v>929</v>
      </c>
    </row>
    <row r="166" spans="1:12">
      <c r="A166" s="176" t="s">
        <v>930</v>
      </c>
    </row>
    <row r="167" spans="1:12">
      <c r="A167" s="182" t="s">
        <v>931</v>
      </c>
      <c r="D167" s="178" t="s">
        <v>932</v>
      </c>
      <c r="L167" s="178" t="s">
        <v>933</v>
      </c>
    </row>
    <row r="168" spans="1:12">
      <c r="A168" s="182"/>
      <c r="B168" s="178" t="s">
        <v>934</v>
      </c>
      <c r="C168" s="178" t="s">
        <v>935</v>
      </c>
      <c r="D168" s="178" t="s">
        <v>936</v>
      </c>
      <c r="E168" s="178" t="s">
        <v>937</v>
      </c>
      <c r="F168" s="178" t="s">
        <v>938</v>
      </c>
      <c r="G168" s="178" t="s">
        <v>939</v>
      </c>
      <c r="H168" s="178" t="s">
        <v>940</v>
      </c>
      <c r="I168" s="178" t="s">
        <v>941</v>
      </c>
      <c r="J168" s="178" t="s">
        <v>942</v>
      </c>
      <c r="K168" s="178" t="s">
        <v>943</v>
      </c>
      <c r="L168" s="178" t="s">
        <v>944</v>
      </c>
    </row>
    <row r="169" spans="1:12">
      <c r="A169" s="182"/>
      <c r="B169" s="178"/>
      <c r="C169" s="178"/>
      <c r="D169" s="178" t="s">
        <v>945</v>
      </c>
      <c r="E169" s="178"/>
      <c r="F169" s="178"/>
      <c r="G169" s="178"/>
      <c r="H169" s="178"/>
      <c r="I169" s="178"/>
      <c r="J169" s="178"/>
      <c r="K169" s="178"/>
    </row>
    <row r="170" spans="1:12">
      <c r="A170" s="182" t="s">
        <v>946</v>
      </c>
      <c r="B170" s="178" t="s">
        <v>125</v>
      </c>
      <c r="C170" s="178" t="s">
        <v>125</v>
      </c>
      <c r="D170" s="177">
        <v>10</v>
      </c>
      <c r="E170" s="177">
        <v>37</v>
      </c>
      <c r="F170" s="178">
        <v>53</v>
      </c>
      <c r="G170" s="177">
        <v>52</v>
      </c>
      <c r="H170" s="177">
        <v>41</v>
      </c>
      <c r="I170" s="177">
        <v>25</v>
      </c>
      <c r="J170" s="177">
        <v>14</v>
      </c>
      <c r="K170" s="177">
        <v>5</v>
      </c>
      <c r="L170" s="177">
        <v>23</v>
      </c>
    </row>
    <row r="171" spans="1:12">
      <c r="A171" s="182" t="s">
        <v>947</v>
      </c>
      <c r="B171" s="177">
        <v>2</v>
      </c>
      <c r="C171" s="177">
        <v>10</v>
      </c>
      <c r="D171" s="177">
        <v>18</v>
      </c>
      <c r="E171" s="177">
        <v>25</v>
      </c>
      <c r="F171" s="177">
        <v>26</v>
      </c>
      <c r="G171" s="177">
        <v>24</v>
      </c>
      <c r="H171" s="177">
        <v>22</v>
      </c>
      <c r="I171" s="177">
        <v>17</v>
      </c>
      <c r="J171" s="177">
        <v>10</v>
      </c>
      <c r="K171" s="177">
        <v>3</v>
      </c>
      <c r="L171" s="177">
        <v>31</v>
      </c>
    </row>
    <row r="172" spans="1:12">
      <c r="A172" s="182" t="s">
        <v>948</v>
      </c>
      <c r="B172" s="177">
        <v>1</v>
      </c>
      <c r="C172" s="177">
        <v>6</v>
      </c>
      <c r="D172" s="177">
        <v>15</v>
      </c>
      <c r="E172" s="177">
        <v>20</v>
      </c>
      <c r="F172" s="177">
        <v>20</v>
      </c>
      <c r="G172" s="177">
        <v>16</v>
      </c>
      <c r="H172" s="177">
        <v>12</v>
      </c>
      <c r="I172" s="177">
        <v>9</v>
      </c>
      <c r="J172" s="177">
        <v>5</v>
      </c>
      <c r="K172" s="177">
        <v>2</v>
      </c>
      <c r="L172" s="177">
        <v>26</v>
      </c>
    </row>
    <row r="173" spans="1:12">
      <c r="A173" s="182" t="s">
        <v>949</v>
      </c>
      <c r="B173" s="177">
        <v>1</v>
      </c>
      <c r="C173" s="177">
        <v>3</v>
      </c>
      <c r="D173" s="177">
        <v>8</v>
      </c>
      <c r="E173" s="177">
        <v>10</v>
      </c>
      <c r="F173" s="177">
        <v>10</v>
      </c>
      <c r="G173" s="177">
        <v>8</v>
      </c>
      <c r="H173" s="177">
        <v>6</v>
      </c>
      <c r="I173" s="177">
        <v>4</v>
      </c>
      <c r="J173" s="177">
        <v>2</v>
      </c>
      <c r="K173" s="177">
        <v>1</v>
      </c>
      <c r="L173" s="177">
        <v>20</v>
      </c>
    </row>
    <row r="174" spans="1:12">
      <c r="A174" s="182" t="s">
        <v>916</v>
      </c>
      <c r="B174" s="177">
        <v>1</v>
      </c>
      <c r="C174" s="177">
        <v>5</v>
      </c>
      <c r="D174" s="177">
        <v>13</v>
      </c>
      <c r="E174" s="177">
        <v>23</v>
      </c>
      <c r="F174" s="177">
        <v>27</v>
      </c>
      <c r="G174" s="177">
        <v>25</v>
      </c>
      <c r="H174" s="177">
        <v>21</v>
      </c>
      <c r="I174" s="177">
        <v>14</v>
      </c>
      <c r="J174" s="177">
        <v>8</v>
      </c>
      <c r="K174" s="177">
        <v>3</v>
      </c>
    </row>
    <row r="175" spans="1:12">
      <c r="A175" s="182" t="s">
        <v>950</v>
      </c>
      <c r="B175" s="177">
        <v>15</v>
      </c>
      <c r="C175" s="177">
        <v>30</v>
      </c>
      <c r="D175" s="177">
        <v>31</v>
      </c>
      <c r="E175" s="177">
        <v>30</v>
      </c>
      <c r="F175" s="177">
        <v>31</v>
      </c>
      <c r="G175" s="177">
        <v>31</v>
      </c>
      <c r="H175" s="177">
        <v>30</v>
      </c>
      <c r="I175" s="177">
        <v>31</v>
      </c>
      <c r="J175" s="177">
        <v>30</v>
      </c>
      <c r="K175" s="177">
        <v>15</v>
      </c>
    </row>
    <row r="176" spans="1:12">
      <c r="A176" s="182" t="s">
        <v>951</v>
      </c>
      <c r="B176" s="177">
        <v>15</v>
      </c>
      <c r="C176" s="177">
        <v>150</v>
      </c>
      <c r="D176" s="177">
        <v>403</v>
      </c>
      <c r="E176" s="177">
        <v>690</v>
      </c>
      <c r="F176" s="177">
        <v>837</v>
      </c>
      <c r="G176" s="177">
        <v>775</v>
      </c>
      <c r="H176" s="177">
        <v>630</v>
      </c>
      <c r="I176" s="177">
        <v>434</v>
      </c>
      <c r="J176" s="177">
        <v>240</v>
      </c>
      <c r="K176" s="177">
        <v>45</v>
      </c>
      <c r="L176" s="178" t="s">
        <v>952</v>
      </c>
    </row>
    <row r="177" spans="1:12">
      <c r="A177" s="182"/>
    </row>
    <row r="178" spans="1:12">
      <c r="A178" s="182"/>
      <c r="B178" s="178" t="s">
        <v>953</v>
      </c>
      <c r="C178" s="178" t="s">
        <v>954</v>
      </c>
      <c r="E178" s="177">
        <v>4.2190000000000003</v>
      </c>
      <c r="F178" s="178" t="s">
        <v>955</v>
      </c>
    </row>
    <row r="179" spans="1:12">
      <c r="A179" s="182"/>
      <c r="B179" s="178" t="s">
        <v>956</v>
      </c>
      <c r="C179" s="178" t="s">
        <v>957</v>
      </c>
      <c r="E179" s="177">
        <v>3.2490000000000001</v>
      </c>
      <c r="F179" s="178" t="s">
        <v>955</v>
      </c>
    </row>
    <row r="180" spans="1:12">
      <c r="A180" s="182"/>
      <c r="B180" s="178" t="s">
        <v>916</v>
      </c>
      <c r="C180" s="178" t="s">
        <v>958</v>
      </c>
      <c r="E180" s="177">
        <v>3.734</v>
      </c>
      <c r="F180" s="178" t="s">
        <v>955</v>
      </c>
    </row>
    <row r="181" spans="1:12">
      <c r="A181" s="182"/>
      <c r="B181" s="182" t="s">
        <v>959</v>
      </c>
      <c r="C181" s="178" t="s">
        <v>960</v>
      </c>
      <c r="E181" s="177">
        <v>0.747</v>
      </c>
      <c r="F181" s="178" t="s">
        <v>955</v>
      </c>
    </row>
    <row r="182" spans="1:12">
      <c r="A182" s="182"/>
    </row>
    <row r="183" spans="1:12">
      <c r="A183" s="176" t="s">
        <v>961</v>
      </c>
    </row>
    <row r="184" spans="1:12">
      <c r="A184" s="182" t="s">
        <v>931</v>
      </c>
      <c r="D184" s="178" t="s">
        <v>932</v>
      </c>
      <c r="L184" s="178" t="s">
        <v>933</v>
      </c>
    </row>
    <row r="185" spans="1:12">
      <c r="A185" s="182"/>
      <c r="B185" s="178" t="s">
        <v>934</v>
      </c>
      <c r="C185" s="178" t="s">
        <v>935</v>
      </c>
      <c r="D185" s="178" t="s">
        <v>936</v>
      </c>
      <c r="E185" s="178" t="s">
        <v>937</v>
      </c>
      <c r="F185" s="178" t="s">
        <v>938</v>
      </c>
      <c r="G185" s="178" t="s">
        <v>939</v>
      </c>
      <c r="H185" s="178" t="s">
        <v>940</v>
      </c>
      <c r="I185" s="178" t="s">
        <v>941</v>
      </c>
      <c r="J185" s="178" t="s">
        <v>942</v>
      </c>
      <c r="K185" s="178" t="s">
        <v>943</v>
      </c>
      <c r="L185" s="178" t="s">
        <v>944</v>
      </c>
    </row>
    <row r="186" spans="1:12">
      <c r="A186" s="182"/>
      <c r="B186" s="178"/>
      <c r="C186" s="178"/>
      <c r="D186" s="178" t="s">
        <v>945</v>
      </c>
      <c r="E186" s="178"/>
      <c r="F186" s="178"/>
      <c r="G186" s="178"/>
      <c r="H186" s="178"/>
      <c r="I186" s="178"/>
      <c r="J186" s="178"/>
      <c r="K186" s="178"/>
    </row>
    <row r="187" spans="1:12">
      <c r="A187" s="182" t="s">
        <v>946</v>
      </c>
      <c r="B187" s="178" t="s">
        <v>125</v>
      </c>
      <c r="C187" s="178" t="s">
        <v>125</v>
      </c>
      <c r="D187" s="177">
        <v>15</v>
      </c>
      <c r="E187" s="177">
        <v>45</v>
      </c>
      <c r="F187" s="178">
        <v>50</v>
      </c>
      <c r="G187" s="177">
        <v>41</v>
      </c>
      <c r="H187" s="177">
        <v>32</v>
      </c>
      <c r="I187" s="177">
        <v>23</v>
      </c>
      <c r="J187" s="177">
        <v>15</v>
      </c>
      <c r="K187" s="177">
        <v>5</v>
      </c>
      <c r="L187" s="177">
        <v>30</v>
      </c>
    </row>
    <row r="188" spans="1:12">
      <c r="A188" s="182" t="s">
        <v>947</v>
      </c>
      <c r="B188" s="177">
        <v>7</v>
      </c>
      <c r="C188" s="177">
        <v>30</v>
      </c>
      <c r="D188" s="177">
        <v>56</v>
      </c>
      <c r="E188" s="177">
        <v>58</v>
      </c>
      <c r="F188" s="177">
        <v>53</v>
      </c>
      <c r="G188" s="177">
        <v>42</v>
      </c>
      <c r="H188" s="177">
        <v>30</v>
      </c>
      <c r="I188" s="177">
        <v>19</v>
      </c>
      <c r="J188" s="177">
        <v>2</v>
      </c>
      <c r="K188" s="177">
        <v>1</v>
      </c>
      <c r="L188" s="177">
        <v>29</v>
      </c>
    </row>
    <row r="189" spans="1:12">
      <c r="A189" s="182" t="s">
        <v>948</v>
      </c>
      <c r="B189" s="177">
        <v>3</v>
      </c>
      <c r="C189" s="177">
        <v>15</v>
      </c>
      <c r="D189" s="177">
        <v>28</v>
      </c>
      <c r="E189" s="177">
        <v>30</v>
      </c>
      <c r="F189" s="177">
        <v>27</v>
      </c>
      <c r="G189" s="177">
        <v>21</v>
      </c>
      <c r="H189" s="177">
        <v>13</v>
      </c>
      <c r="I189" s="177">
        <v>6</v>
      </c>
      <c r="J189" s="177">
        <v>1</v>
      </c>
      <c r="K189" s="178" t="s">
        <v>125</v>
      </c>
      <c r="L189" s="177">
        <v>28</v>
      </c>
    </row>
    <row r="190" spans="1:12">
      <c r="A190" s="182" t="s">
        <v>962</v>
      </c>
      <c r="B190" s="177">
        <v>1</v>
      </c>
      <c r="C190" s="177">
        <v>7</v>
      </c>
      <c r="D190" s="177">
        <v>14</v>
      </c>
      <c r="E190" s="177">
        <v>15</v>
      </c>
      <c r="F190" s="177">
        <v>13</v>
      </c>
      <c r="G190" s="177">
        <v>11</v>
      </c>
      <c r="H190" s="177">
        <v>6</v>
      </c>
      <c r="I190" s="177">
        <v>3</v>
      </c>
      <c r="J190" s="178" t="s">
        <v>125</v>
      </c>
      <c r="K190" s="178" t="s">
        <v>125</v>
      </c>
      <c r="L190" s="177">
        <v>13</v>
      </c>
    </row>
    <row r="191" spans="1:12">
      <c r="A191" s="182" t="s">
        <v>916</v>
      </c>
      <c r="B191" s="177">
        <v>3</v>
      </c>
      <c r="C191" s="177">
        <v>14</v>
      </c>
      <c r="D191" s="177">
        <v>30</v>
      </c>
      <c r="E191" s="177">
        <v>41</v>
      </c>
      <c r="F191" s="177">
        <v>40</v>
      </c>
      <c r="G191" s="177">
        <v>32</v>
      </c>
      <c r="H191" s="177">
        <v>23</v>
      </c>
      <c r="I191" s="177">
        <v>14</v>
      </c>
      <c r="J191" s="177">
        <v>5</v>
      </c>
      <c r="K191" s="177">
        <v>2</v>
      </c>
    </row>
    <row r="192" spans="1:12">
      <c r="A192" s="182" t="s">
        <v>950</v>
      </c>
      <c r="B192" s="177">
        <v>15</v>
      </c>
      <c r="C192" s="177">
        <v>30</v>
      </c>
      <c r="D192" s="177">
        <v>31</v>
      </c>
      <c r="E192" s="177">
        <v>30</v>
      </c>
      <c r="F192" s="177">
        <v>31</v>
      </c>
      <c r="G192" s="177">
        <v>31</v>
      </c>
      <c r="H192" s="177">
        <v>30</v>
      </c>
      <c r="I192" s="177">
        <v>31</v>
      </c>
      <c r="J192" s="177">
        <v>30</v>
      </c>
      <c r="K192" s="177">
        <v>10</v>
      </c>
    </row>
    <row r="193" spans="1:12">
      <c r="A193" s="182" t="s">
        <v>951</v>
      </c>
      <c r="B193" s="177">
        <v>45</v>
      </c>
      <c r="C193" s="177">
        <v>420</v>
      </c>
      <c r="D193" s="177">
        <v>930</v>
      </c>
      <c r="E193" s="177">
        <v>1230</v>
      </c>
      <c r="F193" s="177">
        <v>1240</v>
      </c>
      <c r="G193" s="177">
        <v>992</v>
      </c>
      <c r="H193" s="177">
        <v>690</v>
      </c>
      <c r="I193" s="177">
        <v>434</v>
      </c>
      <c r="J193" s="177">
        <v>150</v>
      </c>
      <c r="K193" s="177">
        <v>20</v>
      </c>
      <c r="L193" s="178" t="s">
        <v>952</v>
      </c>
    </row>
    <row r="194" spans="1:12">
      <c r="A194" s="182"/>
    </row>
    <row r="195" spans="1:12">
      <c r="A195" s="182"/>
      <c r="B195" s="178" t="s">
        <v>953</v>
      </c>
      <c r="C195" s="178" t="s">
        <v>954</v>
      </c>
      <c r="E195" s="177">
        <v>6.1509999999999998</v>
      </c>
      <c r="F195" s="178" t="s">
        <v>955</v>
      </c>
    </row>
    <row r="196" spans="1:12">
      <c r="A196" s="182"/>
      <c r="B196" s="178" t="s">
        <v>963</v>
      </c>
      <c r="C196" s="178" t="s">
        <v>957</v>
      </c>
      <c r="E196" s="177">
        <v>4.6130000000000004</v>
      </c>
      <c r="F196" s="178" t="s">
        <v>955</v>
      </c>
    </row>
    <row r="197" spans="1:12">
      <c r="A197" s="182"/>
      <c r="B197" s="178" t="s">
        <v>916</v>
      </c>
      <c r="C197" s="178" t="s">
        <v>958</v>
      </c>
      <c r="E197" s="177">
        <v>5.3819999999999997</v>
      </c>
      <c r="F197" s="178" t="s">
        <v>955</v>
      </c>
    </row>
    <row r="198" spans="1:12">
      <c r="A198" s="182"/>
      <c r="B198" s="182" t="s">
        <v>964</v>
      </c>
      <c r="C198" s="178" t="s">
        <v>960</v>
      </c>
      <c r="E198" s="177">
        <v>1.238</v>
      </c>
      <c r="F198" s="178" t="s">
        <v>955</v>
      </c>
    </row>
    <row r="199" spans="1:12">
      <c r="A199" s="182"/>
    </row>
    <row r="200" spans="1:12">
      <c r="A200" s="176" t="s">
        <v>965</v>
      </c>
    </row>
    <row r="201" spans="1:12">
      <c r="A201" s="182"/>
      <c r="D201" s="178" t="s">
        <v>932</v>
      </c>
      <c r="L201" s="178"/>
    </row>
    <row r="202" spans="1:12">
      <c r="A202" s="182"/>
      <c r="B202" s="178"/>
      <c r="C202" s="178" t="s">
        <v>936</v>
      </c>
      <c r="D202" s="178" t="s">
        <v>937</v>
      </c>
      <c r="E202" s="178" t="s">
        <v>938</v>
      </c>
      <c r="F202" s="178" t="s">
        <v>939</v>
      </c>
      <c r="G202" s="178" t="s">
        <v>940</v>
      </c>
      <c r="H202" s="178" t="s">
        <v>941</v>
      </c>
      <c r="I202" s="178"/>
      <c r="J202" s="178"/>
      <c r="K202" s="178"/>
    </row>
    <row r="203" spans="1:12">
      <c r="A203" s="182" t="s">
        <v>966</v>
      </c>
      <c r="B203" s="178"/>
      <c r="C203" s="178">
        <v>55</v>
      </c>
      <c r="D203" s="178">
        <v>107</v>
      </c>
      <c r="E203" s="178">
        <v>119</v>
      </c>
      <c r="F203" s="178">
        <v>111</v>
      </c>
      <c r="G203" s="178">
        <v>95</v>
      </c>
      <c r="H203" s="178">
        <v>22</v>
      </c>
      <c r="I203" s="178"/>
      <c r="J203" s="178"/>
      <c r="K203" s="178"/>
      <c r="L203" s="178" t="s">
        <v>967</v>
      </c>
    </row>
    <row r="204" spans="1:12">
      <c r="A204" s="182" t="s">
        <v>950</v>
      </c>
      <c r="B204" s="178"/>
      <c r="C204" s="178">
        <v>20</v>
      </c>
      <c r="D204" s="177">
        <v>30</v>
      </c>
      <c r="E204" s="177">
        <v>31</v>
      </c>
      <c r="F204" s="178">
        <v>31</v>
      </c>
      <c r="G204" s="177">
        <v>30</v>
      </c>
      <c r="H204" s="177">
        <v>15</v>
      </c>
      <c r="L204" s="178"/>
    </row>
    <row r="205" spans="1:12">
      <c r="A205" s="182" t="s">
        <v>951</v>
      </c>
      <c r="C205" s="177">
        <v>1100</v>
      </c>
      <c r="D205" s="177">
        <v>3210</v>
      </c>
      <c r="E205" s="177">
        <v>3689</v>
      </c>
      <c r="F205" s="177">
        <v>3441</v>
      </c>
      <c r="G205" s="177">
        <v>2850</v>
      </c>
      <c r="H205" s="177">
        <v>330</v>
      </c>
      <c r="L205" s="178" t="s">
        <v>952</v>
      </c>
    </row>
    <row r="206" spans="1:12">
      <c r="A206" s="182"/>
      <c r="L206" s="178"/>
    </row>
    <row r="207" spans="1:12">
      <c r="A207" s="182" t="s">
        <v>968</v>
      </c>
      <c r="C207" s="177">
        <v>41</v>
      </c>
      <c r="D207" s="177">
        <v>43</v>
      </c>
      <c r="E207" s="177">
        <v>45</v>
      </c>
      <c r="F207" s="177">
        <v>40</v>
      </c>
      <c r="G207" s="177">
        <v>32</v>
      </c>
      <c r="H207" s="177">
        <v>18</v>
      </c>
      <c r="K207" s="178"/>
      <c r="L207" s="178" t="s">
        <v>967</v>
      </c>
    </row>
    <row r="208" spans="1:12">
      <c r="A208" s="182" t="s">
        <v>950</v>
      </c>
      <c r="C208" s="177">
        <v>30</v>
      </c>
      <c r="D208" s="177">
        <v>30</v>
      </c>
      <c r="E208" s="177">
        <v>31</v>
      </c>
      <c r="F208" s="177">
        <v>31</v>
      </c>
      <c r="G208" s="177">
        <v>30</v>
      </c>
      <c r="H208" s="177">
        <v>25</v>
      </c>
      <c r="J208" s="178"/>
      <c r="K208" s="178"/>
      <c r="L208" s="178"/>
    </row>
    <row r="209" spans="1:12">
      <c r="A209" s="182" t="s">
        <v>951</v>
      </c>
      <c r="C209" s="177">
        <v>1230</v>
      </c>
      <c r="D209" s="177">
        <v>1290</v>
      </c>
      <c r="E209" s="177">
        <v>1395</v>
      </c>
      <c r="F209" s="177">
        <v>1240</v>
      </c>
      <c r="G209" s="177">
        <v>960</v>
      </c>
      <c r="H209" s="177">
        <v>450</v>
      </c>
      <c r="L209" s="178" t="s">
        <v>952</v>
      </c>
    </row>
    <row r="210" spans="1:12">
      <c r="A210" s="182"/>
      <c r="L210" s="178"/>
    </row>
    <row r="211" spans="1:12">
      <c r="A211" s="182"/>
      <c r="B211" s="178" t="s">
        <v>953</v>
      </c>
      <c r="C211" s="178" t="s">
        <v>954</v>
      </c>
      <c r="E211" s="177">
        <v>14.62</v>
      </c>
      <c r="F211" s="178" t="s">
        <v>955</v>
      </c>
    </row>
    <row r="212" spans="1:12">
      <c r="A212" s="182"/>
      <c r="B212" s="178" t="s">
        <v>963</v>
      </c>
      <c r="C212" s="178" t="s">
        <v>957</v>
      </c>
      <c r="E212" s="177">
        <v>10.965</v>
      </c>
      <c r="F212" s="178" t="s">
        <v>955</v>
      </c>
    </row>
    <row r="213" spans="1:12">
      <c r="A213" s="182"/>
      <c r="B213" s="178" t="s">
        <v>916</v>
      </c>
      <c r="C213" s="178" t="s">
        <v>958</v>
      </c>
      <c r="E213" s="177">
        <v>12.792999999999999</v>
      </c>
      <c r="F213" s="178" t="s">
        <v>955</v>
      </c>
    </row>
    <row r="214" spans="1:12">
      <c r="A214" s="182"/>
      <c r="B214" s="182" t="s">
        <v>953</v>
      </c>
      <c r="C214" s="178" t="s">
        <v>960</v>
      </c>
      <c r="E214" s="177">
        <v>6.5650000000000004</v>
      </c>
      <c r="F214" s="178" t="s">
        <v>955</v>
      </c>
    </row>
    <row r="215" spans="1:12">
      <c r="A215" s="182"/>
    </row>
    <row r="216" spans="1:12">
      <c r="A216" s="176" t="s">
        <v>969</v>
      </c>
    </row>
    <row r="217" spans="1:12">
      <c r="A217" s="182"/>
      <c r="D217" s="178" t="s">
        <v>932</v>
      </c>
      <c r="L217" s="178"/>
    </row>
    <row r="218" spans="1:12">
      <c r="A218" s="182"/>
      <c r="B218" s="178" t="s">
        <v>935</v>
      </c>
      <c r="C218" s="178" t="s">
        <v>936</v>
      </c>
      <c r="D218" s="178" t="s">
        <v>937</v>
      </c>
      <c r="E218" s="178" t="s">
        <v>938</v>
      </c>
      <c r="F218" s="178" t="s">
        <v>939</v>
      </c>
      <c r="G218" s="178" t="s">
        <v>940</v>
      </c>
      <c r="H218" s="178" t="s">
        <v>941</v>
      </c>
      <c r="I218" s="178" t="s">
        <v>942</v>
      </c>
      <c r="J218" s="178"/>
      <c r="K218" s="178"/>
    </row>
    <row r="219" spans="1:12">
      <c r="A219" s="182" t="s">
        <v>966</v>
      </c>
      <c r="B219" s="178">
        <v>14</v>
      </c>
      <c r="C219" s="178">
        <v>61</v>
      </c>
      <c r="D219" s="178">
        <v>82</v>
      </c>
      <c r="E219" s="178">
        <v>101</v>
      </c>
      <c r="F219" s="178">
        <v>126</v>
      </c>
      <c r="G219" s="178">
        <v>94</v>
      </c>
      <c r="H219" s="178">
        <v>61</v>
      </c>
      <c r="I219" s="178">
        <v>1</v>
      </c>
      <c r="J219" s="178"/>
      <c r="K219" s="178"/>
      <c r="L219" s="178" t="s">
        <v>967</v>
      </c>
    </row>
    <row r="220" spans="1:12">
      <c r="A220" s="182" t="s">
        <v>950</v>
      </c>
      <c r="B220" s="178">
        <v>20</v>
      </c>
      <c r="C220" s="178">
        <v>31</v>
      </c>
      <c r="D220" s="177">
        <v>30</v>
      </c>
      <c r="E220" s="177">
        <v>31</v>
      </c>
      <c r="F220" s="178">
        <v>31</v>
      </c>
      <c r="G220" s="177">
        <v>30</v>
      </c>
      <c r="H220" s="177">
        <v>31</v>
      </c>
      <c r="I220" s="177">
        <v>15</v>
      </c>
      <c r="L220" s="178"/>
    </row>
    <row r="221" spans="1:12">
      <c r="A221" s="182" t="s">
        <v>951</v>
      </c>
      <c r="B221" s="177">
        <v>280</v>
      </c>
      <c r="C221" s="177">
        <v>1891</v>
      </c>
      <c r="D221" s="177">
        <v>2460</v>
      </c>
      <c r="E221" s="177">
        <v>3131</v>
      </c>
      <c r="F221" s="177">
        <v>3906</v>
      </c>
      <c r="G221" s="177">
        <v>2820</v>
      </c>
      <c r="H221" s="177">
        <v>1891</v>
      </c>
      <c r="I221" s="177">
        <v>15</v>
      </c>
      <c r="L221" s="178" t="s">
        <v>952</v>
      </c>
    </row>
    <row r="222" spans="1:12">
      <c r="A222" s="182"/>
      <c r="L222" s="178"/>
    </row>
    <row r="223" spans="1:12">
      <c r="A223" s="182" t="s">
        <v>968</v>
      </c>
      <c r="B223" s="178" t="s">
        <v>125</v>
      </c>
      <c r="C223" s="177">
        <v>33</v>
      </c>
      <c r="D223" s="177">
        <v>27</v>
      </c>
      <c r="E223" s="177">
        <v>13</v>
      </c>
      <c r="F223" s="177">
        <v>13</v>
      </c>
      <c r="G223" s="177">
        <v>-2</v>
      </c>
      <c r="H223" s="177">
        <v>-5</v>
      </c>
      <c r="I223" s="178" t="s">
        <v>125</v>
      </c>
      <c r="K223" s="178"/>
      <c r="L223" s="178" t="s">
        <v>967</v>
      </c>
    </row>
    <row r="224" spans="1:12">
      <c r="A224" s="182" t="s">
        <v>950</v>
      </c>
      <c r="B224" s="178" t="s">
        <v>125</v>
      </c>
      <c r="C224" s="177">
        <v>31</v>
      </c>
      <c r="D224" s="177">
        <v>30</v>
      </c>
      <c r="E224" s="177">
        <v>31</v>
      </c>
      <c r="F224" s="177">
        <v>31</v>
      </c>
      <c r="G224" s="177">
        <v>30</v>
      </c>
      <c r="H224" s="177">
        <v>15</v>
      </c>
      <c r="I224" s="178" t="s">
        <v>125</v>
      </c>
      <c r="J224" s="178"/>
      <c r="K224" s="178"/>
      <c r="L224" s="178"/>
    </row>
    <row r="225" spans="1:12">
      <c r="A225" s="182" t="s">
        <v>951</v>
      </c>
      <c r="B225" s="178" t="s">
        <v>125</v>
      </c>
      <c r="C225" s="177">
        <v>1023</v>
      </c>
      <c r="D225" s="177">
        <v>810</v>
      </c>
      <c r="E225" s="177">
        <v>403</v>
      </c>
      <c r="F225" s="177">
        <v>403</v>
      </c>
      <c r="G225" s="177">
        <v>-60</v>
      </c>
      <c r="H225" s="177">
        <v>-75</v>
      </c>
      <c r="I225" s="178" t="s">
        <v>125</v>
      </c>
      <c r="L225" s="178" t="s">
        <v>952</v>
      </c>
    </row>
    <row r="226" spans="1:12">
      <c r="A226" s="182"/>
      <c r="L226" s="178"/>
    </row>
    <row r="227" spans="1:12">
      <c r="A227" s="182"/>
      <c r="B227" s="178" t="s">
        <v>953</v>
      </c>
      <c r="C227" s="178" t="s">
        <v>954</v>
      </c>
      <c r="E227" s="177">
        <v>16.393999999999998</v>
      </c>
      <c r="F227" s="178" t="s">
        <v>955</v>
      </c>
    </row>
    <row r="228" spans="1:12">
      <c r="A228" s="182"/>
      <c r="B228" s="178" t="s">
        <v>970</v>
      </c>
      <c r="C228" s="178" t="s">
        <v>957</v>
      </c>
      <c r="E228" s="177">
        <v>12.459</v>
      </c>
      <c r="F228" s="178" t="s">
        <v>955</v>
      </c>
    </row>
    <row r="229" spans="1:12">
      <c r="A229" s="182"/>
      <c r="B229" s="178" t="s">
        <v>916</v>
      </c>
      <c r="C229" s="178" t="s">
        <v>958</v>
      </c>
      <c r="E229" s="177">
        <v>14.426</v>
      </c>
      <c r="F229" s="178" t="s">
        <v>955</v>
      </c>
    </row>
    <row r="230" spans="1:12">
      <c r="A230" s="182"/>
      <c r="B230" s="182" t="s">
        <v>953</v>
      </c>
      <c r="C230" s="178" t="s">
        <v>960</v>
      </c>
      <c r="E230" s="177">
        <v>2.2250000000000001</v>
      </c>
      <c r="F230" s="178" t="s">
        <v>955</v>
      </c>
    </row>
    <row r="231" spans="1:12">
      <c r="H231" s="178" t="s">
        <v>971</v>
      </c>
    </row>
    <row r="232" spans="1:12">
      <c r="A232" s="176" t="s">
        <v>972</v>
      </c>
    </row>
    <row r="233" spans="1:12">
      <c r="A233" s="178" t="s">
        <v>1016</v>
      </c>
    </row>
    <row r="234" spans="1:12">
      <c r="B234" s="178" t="s">
        <v>870</v>
      </c>
      <c r="C234" s="178" t="s">
        <v>871</v>
      </c>
      <c r="D234" s="178" t="s">
        <v>883</v>
      </c>
      <c r="E234" s="176" t="s">
        <v>873</v>
      </c>
    </row>
    <row r="235" spans="1:12">
      <c r="A235" s="178" t="s">
        <v>973</v>
      </c>
      <c r="B235" s="177">
        <v>9</v>
      </c>
      <c r="C235" s="177">
        <v>9</v>
      </c>
      <c r="D235" s="177">
        <v>10</v>
      </c>
      <c r="E235" s="177">
        <v>10</v>
      </c>
    </row>
    <row r="236" spans="1:12">
      <c r="A236" s="178" t="s">
        <v>974</v>
      </c>
      <c r="B236" s="177">
        <v>15.3</v>
      </c>
      <c r="C236" s="177">
        <v>14.9</v>
      </c>
      <c r="D236" s="177">
        <v>14.4</v>
      </c>
      <c r="E236" s="177">
        <v>15.1</v>
      </c>
    </row>
    <row r="237" spans="1:12">
      <c r="A237" s="178" t="s">
        <v>975</v>
      </c>
      <c r="B237" s="177">
        <v>14.3</v>
      </c>
      <c r="C237" s="177">
        <v>15.4</v>
      </c>
      <c r="D237" s="177">
        <v>13.3</v>
      </c>
      <c r="E237" s="177">
        <v>15.2</v>
      </c>
    </row>
    <row r="238" spans="1:12">
      <c r="A238" s="178" t="s">
        <v>976</v>
      </c>
      <c r="B238" s="177">
        <v>447</v>
      </c>
      <c r="C238" s="177">
        <v>448</v>
      </c>
      <c r="D238" s="177">
        <v>322</v>
      </c>
      <c r="E238" s="177">
        <v>420</v>
      </c>
    </row>
    <row r="239" spans="1:12">
      <c r="A239" s="178" t="s">
        <v>977</v>
      </c>
      <c r="B239" s="177">
        <v>225</v>
      </c>
      <c r="C239" s="177">
        <v>284</v>
      </c>
      <c r="D239" s="177">
        <v>375</v>
      </c>
      <c r="E239" s="177">
        <v>330</v>
      </c>
    </row>
    <row r="240" spans="1:12">
      <c r="A240" s="184" t="s">
        <v>978</v>
      </c>
      <c r="B240" s="177">
        <v>6.1</v>
      </c>
      <c r="C240" s="177">
        <v>4.4000000000000004</v>
      </c>
      <c r="D240" s="177">
        <v>2.2999999999999998</v>
      </c>
      <c r="E240" s="177">
        <v>3</v>
      </c>
    </row>
    <row r="241" spans="1:7">
      <c r="A241" s="178" t="s">
        <v>979</v>
      </c>
      <c r="B241" s="177">
        <v>2070</v>
      </c>
      <c r="C241" s="177">
        <v>1580</v>
      </c>
      <c r="D241" s="177">
        <v>1580</v>
      </c>
      <c r="E241" s="177">
        <v>800</v>
      </c>
    </row>
    <row r="243" spans="1:7">
      <c r="A243" s="176" t="s">
        <v>980</v>
      </c>
    </row>
    <row r="244" spans="1:7">
      <c r="A244" s="176" t="s">
        <v>1017</v>
      </c>
    </row>
    <row r="245" spans="1:7" ht="51">
      <c r="B245" s="184" t="s">
        <v>981</v>
      </c>
      <c r="C245" s="184" t="s">
        <v>982</v>
      </c>
      <c r="D245" s="184" t="s">
        <v>983</v>
      </c>
    </row>
    <row r="246" spans="1:7">
      <c r="A246" s="178" t="s">
        <v>870</v>
      </c>
    </row>
    <row r="247" spans="1:7">
      <c r="A247" s="178" t="s">
        <v>958</v>
      </c>
      <c r="B247" s="177">
        <v>3.27</v>
      </c>
      <c r="C247" s="177">
        <v>3.73</v>
      </c>
      <c r="D247" s="177">
        <v>12.2</v>
      </c>
    </row>
    <row r="248" spans="1:7">
      <c r="A248" s="178" t="s">
        <v>960</v>
      </c>
      <c r="B248" s="177">
        <v>2.84</v>
      </c>
      <c r="C248" s="177">
        <v>0.75</v>
      </c>
      <c r="D248" s="177">
        <v>2.13</v>
      </c>
    </row>
    <row r="249" spans="1:7">
      <c r="A249" s="178"/>
      <c r="B249" s="177">
        <v>6.11</v>
      </c>
      <c r="D249" s="177">
        <v>14.33</v>
      </c>
      <c r="G249" s="183" t="s">
        <v>929</v>
      </c>
    </row>
    <row r="250" spans="1:7">
      <c r="A250" s="178" t="s">
        <v>871</v>
      </c>
    </row>
    <row r="251" spans="1:7">
      <c r="A251" s="178" t="s">
        <v>958</v>
      </c>
      <c r="B251" s="177">
        <v>2.1</v>
      </c>
      <c r="C251" s="177">
        <v>5.38</v>
      </c>
      <c r="D251" s="177">
        <v>11.3</v>
      </c>
    </row>
    <row r="252" spans="1:7">
      <c r="A252" s="178" t="s">
        <v>960</v>
      </c>
      <c r="B252" s="177">
        <v>2.31</v>
      </c>
      <c r="C252" s="177">
        <v>1.24</v>
      </c>
      <c r="D252" s="177">
        <v>2.86</v>
      </c>
    </row>
    <row r="253" spans="1:7">
      <c r="A253" s="178"/>
      <c r="B253" s="177">
        <v>4.41</v>
      </c>
      <c r="D253" s="177">
        <v>14.16</v>
      </c>
    </row>
    <row r="254" spans="1:7">
      <c r="A254" s="178" t="s">
        <v>883</v>
      </c>
    </row>
    <row r="255" spans="1:7">
      <c r="A255" s="178" t="s">
        <v>958</v>
      </c>
      <c r="B255" s="177">
        <v>0.77</v>
      </c>
      <c r="C255" s="177">
        <v>12.79</v>
      </c>
      <c r="D255" s="177">
        <v>9.85</v>
      </c>
    </row>
    <row r="256" spans="1:7">
      <c r="A256" s="178" t="s">
        <v>960</v>
      </c>
      <c r="B256" s="177">
        <v>0.89</v>
      </c>
      <c r="C256" s="177">
        <v>6.57</v>
      </c>
      <c r="D256" s="177">
        <v>5.85</v>
      </c>
    </row>
    <row r="257" spans="1:5">
      <c r="A257" s="178" t="s">
        <v>984</v>
      </c>
      <c r="B257" s="177">
        <v>0.61</v>
      </c>
      <c r="C257" s="177">
        <v>2.56</v>
      </c>
      <c r="D257" s="177">
        <v>1.56</v>
      </c>
    </row>
    <row r="258" spans="1:5">
      <c r="A258" s="178"/>
      <c r="B258" s="177">
        <v>2.27</v>
      </c>
    </row>
    <row r="259" spans="1:5">
      <c r="A259" s="176" t="s">
        <v>873</v>
      </c>
    </row>
    <row r="260" spans="1:5">
      <c r="A260" s="178" t="s">
        <v>958</v>
      </c>
      <c r="B260" s="177">
        <v>1.73</v>
      </c>
      <c r="C260" s="177">
        <v>14.43</v>
      </c>
      <c r="D260" s="177">
        <v>24.96</v>
      </c>
    </row>
    <row r="261" spans="1:5">
      <c r="A261" s="178" t="s">
        <v>960</v>
      </c>
      <c r="B261" s="177">
        <v>1.24</v>
      </c>
      <c r="C261" s="177">
        <v>2.23</v>
      </c>
      <c r="D261" s="177">
        <v>2.77</v>
      </c>
    </row>
    <row r="262" spans="1:5">
      <c r="B262" s="177">
        <v>2.97</v>
      </c>
      <c r="D262" s="177">
        <v>27.73</v>
      </c>
    </row>
    <row r="264" spans="1:5">
      <c r="A264" s="176" t="s">
        <v>985</v>
      </c>
    </row>
    <row r="265" spans="1:5">
      <c r="A265" s="182" t="s">
        <v>986</v>
      </c>
    </row>
    <row r="267" spans="1:5">
      <c r="A267" s="176" t="s">
        <v>987</v>
      </c>
    </row>
    <row r="268" spans="1:5">
      <c r="A268" s="182" t="s">
        <v>1018</v>
      </c>
    </row>
    <row r="270" spans="1:5">
      <c r="A270" s="176" t="s">
        <v>988</v>
      </c>
    </row>
    <row r="271" spans="1:5">
      <c r="A271" s="185" t="s">
        <v>1019</v>
      </c>
    </row>
    <row r="272" spans="1:5">
      <c r="B272" s="178" t="s">
        <v>870</v>
      </c>
      <c r="C272" s="178" t="s">
        <v>871</v>
      </c>
      <c r="D272" s="178" t="s">
        <v>883</v>
      </c>
      <c r="E272" s="178" t="s">
        <v>873</v>
      </c>
    </row>
    <row r="273" spans="1:7">
      <c r="A273" s="178" t="s">
        <v>989</v>
      </c>
      <c r="B273" s="177">
        <v>1.4</v>
      </c>
      <c r="C273" s="177">
        <v>1.3</v>
      </c>
      <c r="D273" s="177">
        <v>2.2999999999999998</v>
      </c>
      <c r="E273" s="177">
        <v>3</v>
      </c>
    </row>
    <row r="274" spans="1:7">
      <c r="A274" s="178" t="s">
        <v>1456</v>
      </c>
      <c r="B274" s="177">
        <v>12.4</v>
      </c>
      <c r="C274" s="177">
        <v>8.4</v>
      </c>
      <c r="D274" s="177">
        <v>8.3000000000000007</v>
      </c>
      <c r="E274" s="177">
        <v>6.7</v>
      </c>
      <c r="G274" s="183" t="s">
        <v>990</v>
      </c>
    </row>
    <row r="275" spans="1:7">
      <c r="A275" s="178" t="s">
        <v>991</v>
      </c>
      <c r="B275" s="177">
        <v>2</v>
      </c>
      <c r="C275" s="177">
        <v>1.9</v>
      </c>
      <c r="D275" s="177">
        <v>3.3</v>
      </c>
      <c r="E275" s="177">
        <v>1.3</v>
      </c>
      <c r="G275" s="183" t="s">
        <v>992</v>
      </c>
    </row>
    <row r="276" spans="1:7">
      <c r="A276" s="178" t="s">
        <v>993</v>
      </c>
      <c r="B276" s="177">
        <v>1.9</v>
      </c>
      <c r="C276" s="177">
        <v>2</v>
      </c>
      <c r="D276" s="177">
        <v>3.4</v>
      </c>
      <c r="E276" s="177">
        <v>2.4</v>
      </c>
    </row>
    <row r="277" spans="1:7">
      <c r="A277" s="267" t="s">
        <v>1211</v>
      </c>
      <c r="B277" s="186">
        <v>17.7</v>
      </c>
      <c r="C277" s="186">
        <v>13.6</v>
      </c>
      <c r="D277" s="186">
        <v>17.3</v>
      </c>
      <c r="E277" s="186">
        <v>13.4</v>
      </c>
    </row>
    <row r="279" spans="1:7">
      <c r="A279" s="176" t="s">
        <v>994</v>
      </c>
    </row>
    <row r="280" spans="1:7">
      <c r="A280" s="178" t="s">
        <v>995</v>
      </c>
    </row>
    <row r="284" spans="1:7">
      <c r="A284" s="178" t="s">
        <v>996</v>
      </c>
    </row>
    <row r="285" spans="1:7" ht="63.75">
      <c r="A285" s="184" t="s">
        <v>997</v>
      </c>
    </row>
    <row r="286" spans="1:7" ht="63.75">
      <c r="A286" s="184" t="s">
        <v>998</v>
      </c>
    </row>
    <row r="287" spans="1:7" ht="63.75">
      <c r="A287" s="184" t="s">
        <v>999</v>
      </c>
    </row>
    <row r="288" spans="1:7" ht="63.75">
      <c r="A288" s="184" t="s">
        <v>1000</v>
      </c>
    </row>
  </sheetData>
  <pageMargins left="0.98425196850393704" right="0.59055118110236227" top="0.78740157480314965" bottom="0.59055118110236227" header="0.51181102362204722" footer="0.51181102362204722"/>
  <pageSetup paperSize="9" scale="62" fitToHeight="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7" sqref="D17"/>
    </sheetView>
  </sheetViews>
  <sheetFormatPr baseColWidth="10" defaultRowHeight="12.75"/>
  <sheetData>
    <row r="1" spans="1:5">
      <c r="A1" t="s">
        <v>1799</v>
      </c>
    </row>
    <row r="3" spans="1:5">
      <c r="A3" s="287" t="s">
        <v>1800</v>
      </c>
    </row>
    <row r="4" spans="1:5">
      <c r="A4" s="287" t="s">
        <v>1808</v>
      </c>
      <c r="D4" s="173" t="s">
        <v>1807</v>
      </c>
    </row>
    <row r="6" spans="1:5">
      <c r="A6" s="287" t="s">
        <v>1801</v>
      </c>
      <c r="B6">
        <v>957</v>
      </c>
      <c r="D6">
        <f t="shared" ref="D6:D11" si="0">B6/10000</f>
        <v>9.5699999999999993E-2</v>
      </c>
    </row>
    <row r="7" spans="1:5">
      <c r="A7" s="287" t="s">
        <v>1802</v>
      </c>
      <c r="B7">
        <v>841</v>
      </c>
      <c r="D7">
        <f t="shared" si="0"/>
        <v>8.4099999999999994E-2</v>
      </c>
    </row>
    <row r="8" spans="1:5">
      <c r="A8" s="287" t="s">
        <v>1803</v>
      </c>
      <c r="B8">
        <v>754</v>
      </c>
      <c r="D8">
        <f t="shared" si="0"/>
        <v>7.5399999999999995E-2</v>
      </c>
    </row>
    <row r="9" spans="1:5">
      <c r="A9" s="287" t="s">
        <v>1804</v>
      </c>
      <c r="B9">
        <v>619</v>
      </c>
      <c r="D9">
        <f t="shared" si="0"/>
        <v>6.1899999999999997E-2</v>
      </c>
    </row>
    <row r="10" spans="1:5">
      <c r="A10" s="287" t="s">
        <v>1805</v>
      </c>
      <c r="B10">
        <v>485</v>
      </c>
      <c r="D10">
        <f t="shared" si="0"/>
        <v>4.8500000000000001E-2</v>
      </c>
    </row>
    <row r="11" spans="1:5">
      <c r="A11" s="287" t="s">
        <v>1806</v>
      </c>
      <c r="B11">
        <v>487</v>
      </c>
      <c r="D11">
        <f t="shared" si="0"/>
        <v>4.87E-2</v>
      </c>
    </row>
    <row r="13" spans="1:5">
      <c r="D13">
        <f>AVERAGE(D6:D11)</f>
        <v>6.905E-2</v>
      </c>
      <c r="E13" s="287" t="s">
        <v>1809</v>
      </c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C59"/>
  <sheetViews>
    <sheetView workbookViewId="0">
      <selection activeCell="A70" sqref="A70"/>
    </sheetView>
  </sheetViews>
  <sheetFormatPr baseColWidth="10" defaultRowHeight="12.75"/>
  <cols>
    <col min="1" max="28" width="3.7109375" customWidth="1"/>
    <col min="29" max="29" width="6.85546875" customWidth="1"/>
  </cols>
  <sheetData>
    <row r="1" spans="1:29">
      <c r="A1" t="s">
        <v>1544</v>
      </c>
    </row>
    <row r="2" spans="1:29">
      <c r="A2" s="84" t="s">
        <v>1535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</row>
    <row r="3" spans="1:29">
      <c r="A3" s="85" t="s">
        <v>1536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>
      <c r="A4" s="84" t="s">
        <v>1487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</row>
    <row r="5" spans="1:29">
      <c r="A5" s="363" t="s">
        <v>1537</v>
      </c>
      <c r="B5" s="87" t="s">
        <v>1538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</row>
    <row r="6" spans="1:29" ht="22.5">
      <c r="A6" s="364"/>
      <c r="B6" s="89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90">
        <v>9</v>
      </c>
      <c r="J6" s="90">
        <v>10</v>
      </c>
      <c r="K6" s="90">
        <v>11</v>
      </c>
      <c r="L6" s="90">
        <v>12</v>
      </c>
      <c r="M6" s="90">
        <v>13</v>
      </c>
      <c r="N6" s="90">
        <v>14</v>
      </c>
      <c r="O6" s="90">
        <v>15</v>
      </c>
      <c r="P6" s="90">
        <v>16</v>
      </c>
      <c r="Q6" s="90">
        <v>17</v>
      </c>
      <c r="R6" s="90">
        <v>18</v>
      </c>
      <c r="S6" s="90">
        <v>19</v>
      </c>
      <c r="T6" s="90">
        <v>20</v>
      </c>
      <c r="U6" s="90">
        <v>21</v>
      </c>
      <c r="V6" s="90">
        <v>22</v>
      </c>
      <c r="W6" s="90">
        <v>23</v>
      </c>
      <c r="X6" s="90">
        <v>24</v>
      </c>
      <c r="Y6" s="90">
        <v>25</v>
      </c>
      <c r="Z6" s="90">
        <v>26</v>
      </c>
      <c r="AA6" s="90">
        <v>27</v>
      </c>
      <c r="AB6" s="90">
        <v>28</v>
      </c>
      <c r="AC6" s="83" t="s">
        <v>1539</v>
      </c>
    </row>
    <row r="7" spans="1:29">
      <c r="A7" s="365"/>
      <c r="B7" s="87" t="s">
        <v>1540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</row>
    <row r="8" spans="1:29">
      <c r="A8" s="91">
        <v>1</v>
      </c>
      <c r="B8" s="91">
        <v>3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>
        <v>3</v>
      </c>
    </row>
    <row r="9" spans="1:29">
      <c r="A9" s="84">
        <v>2</v>
      </c>
      <c r="B9" s="84">
        <v>3</v>
      </c>
      <c r="C9" s="84">
        <v>3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>
        <v>6</v>
      </c>
    </row>
    <row r="10" spans="1:29">
      <c r="A10" s="84">
        <v>3</v>
      </c>
      <c r="B10" s="84">
        <v>3</v>
      </c>
      <c r="C10" s="84">
        <v>7</v>
      </c>
      <c r="D10" s="84">
        <v>1</v>
      </c>
      <c r="E10" s="84">
        <v>1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>
        <v>12</v>
      </c>
    </row>
    <row r="11" spans="1:29">
      <c r="A11" s="84">
        <v>4</v>
      </c>
      <c r="B11" s="84"/>
      <c r="C11" s="84">
        <v>8</v>
      </c>
      <c r="D11" s="84">
        <v>15</v>
      </c>
      <c r="E11" s="84">
        <v>4</v>
      </c>
      <c r="F11" s="84">
        <v>2</v>
      </c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 t="s">
        <v>1541</v>
      </c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>
        <v>29</v>
      </c>
    </row>
    <row r="12" spans="1:29">
      <c r="A12" s="84">
        <v>5</v>
      </c>
      <c r="B12" s="84"/>
      <c r="C12" s="84">
        <v>4</v>
      </c>
      <c r="D12" s="84">
        <v>15</v>
      </c>
      <c r="E12" s="84">
        <v>12</v>
      </c>
      <c r="F12" s="84">
        <v>7</v>
      </c>
      <c r="G12" s="84">
        <v>2</v>
      </c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>
        <v>40</v>
      </c>
    </row>
    <row r="13" spans="1:29">
      <c r="A13" s="84">
        <v>6</v>
      </c>
      <c r="B13" s="84"/>
      <c r="C13" s="84">
        <v>4</v>
      </c>
      <c r="D13" s="84">
        <v>15</v>
      </c>
      <c r="E13" s="84">
        <v>16</v>
      </c>
      <c r="F13" s="84">
        <v>16</v>
      </c>
      <c r="G13" s="84">
        <v>3</v>
      </c>
      <c r="H13" s="84">
        <v>2</v>
      </c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>
        <v>56</v>
      </c>
    </row>
    <row r="14" spans="1:29">
      <c r="A14" s="84">
        <v>7</v>
      </c>
      <c r="B14" s="84"/>
      <c r="C14" s="84"/>
      <c r="D14" s="84">
        <v>6</v>
      </c>
      <c r="E14" s="84">
        <v>16</v>
      </c>
      <c r="F14" s="84">
        <v>15</v>
      </c>
      <c r="G14" s="84">
        <v>7</v>
      </c>
      <c r="H14" s="84">
        <v>4</v>
      </c>
      <c r="I14" s="84">
        <v>2</v>
      </c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>
        <v>50</v>
      </c>
    </row>
    <row r="15" spans="1:29">
      <c r="A15" s="84">
        <v>8</v>
      </c>
      <c r="B15" s="84"/>
      <c r="C15" s="84"/>
      <c r="D15" s="84">
        <v>3</v>
      </c>
      <c r="E15" s="84">
        <v>15</v>
      </c>
      <c r="F15" s="84">
        <v>11</v>
      </c>
      <c r="G15" s="84">
        <v>22</v>
      </c>
      <c r="H15" s="84">
        <v>11</v>
      </c>
      <c r="I15" s="84">
        <v>4</v>
      </c>
      <c r="J15" s="84">
        <v>2</v>
      </c>
      <c r="K15" s="84">
        <v>1</v>
      </c>
      <c r="L15" s="84"/>
      <c r="M15" s="84"/>
      <c r="N15" s="84">
        <v>1</v>
      </c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>
        <v>70</v>
      </c>
    </row>
    <row r="16" spans="1:29">
      <c r="A16" s="84">
        <v>9</v>
      </c>
      <c r="B16" s="84"/>
      <c r="C16" s="84"/>
      <c r="D16" s="84">
        <v>3</v>
      </c>
      <c r="E16" s="84">
        <v>8</v>
      </c>
      <c r="F16" s="84">
        <v>14</v>
      </c>
      <c r="G16" s="84">
        <v>16</v>
      </c>
      <c r="H16" s="84">
        <v>14</v>
      </c>
      <c r="I16" s="84">
        <v>7</v>
      </c>
      <c r="J16" s="84">
        <v>5</v>
      </c>
      <c r="K16" s="84">
        <v>3</v>
      </c>
      <c r="L16" s="84"/>
      <c r="M16" s="84">
        <v>1</v>
      </c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>
        <v>71</v>
      </c>
    </row>
    <row r="17" spans="1:29">
      <c r="A17" s="84">
        <v>10</v>
      </c>
      <c r="B17" s="84"/>
      <c r="C17" s="84"/>
      <c r="D17" s="84"/>
      <c r="E17" s="84">
        <v>1</v>
      </c>
      <c r="F17" s="84">
        <v>10</v>
      </c>
      <c r="G17" s="84">
        <v>14</v>
      </c>
      <c r="H17" s="84">
        <v>15</v>
      </c>
      <c r="I17" s="84">
        <v>16</v>
      </c>
      <c r="J17" s="84">
        <v>4</v>
      </c>
      <c r="K17" s="84">
        <v>4</v>
      </c>
      <c r="L17" s="84">
        <v>2</v>
      </c>
      <c r="M17" s="84"/>
      <c r="N17" s="84">
        <v>1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>
        <v>67</v>
      </c>
    </row>
    <row r="18" spans="1:29">
      <c r="A18" s="84">
        <v>11</v>
      </c>
      <c r="B18" s="84"/>
      <c r="C18" s="84"/>
      <c r="D18" s="84">
        <v>1</v>
      </c>
      <c r="E18" s="84">
        <v>3</v>
      </c>
      <c r="F18" s="84">
        <v>4</v>
      </c>
      <c r="G18" s="84">
        <v>13</v>
      </c>
      <c r="H18" s="84">
        <v>13</v>
      </c>
      <c r="I18" s="84">
        <v>13</v>
      </c>
      <c r="J18" s="84">
        <v>12</v>
      </c>
      <c r="K18" s="84">
        <v>4</v>
      </c>
      <c r="L18" s="84">
        <v>2</v>
      </c>
      <c r="M18" s="84"/>
      <c r="N18" s="84"/>
      <c r="O18" s="84">
        <v>1</v>
      </c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>
        <v>66</v>
      </c>
    </row>
    <row r="19" spans="1:29">
      <c r="A19" s="84">
        <v>12</v>
      </c>
      <c r="B19" s="84"/>
      <c r="C19" s="84"/>
      <c r="D19" s="84"/>
      <c r="E19" s="84">
        <v>2</v>
      </c>
      <c r="F19" s="84">
        <v>3</v>
      </c>
      <c r="G19" s="84">
        <v>9</v>
      </c>
      <c r="H19" s="84">
        <v>8</v>
      </c>
      <c r="I19" s="84">
        <v>16</v>
      </c>
      <c r="J19" s="84">
        <v>19</v>
      </c>
      <c r="K19" s="84">
        <v>7</v>
      </c>
      <c r="L19" s="84">
        <v>5</v>
      </c>
      <c r="M19" s="84">
        <v>2</v>
      </c>
      <c r="N19" s="84">
        <v>2</v>
      </c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>
        <v>73</v>
      </c>
    </row>
    <row r="20" spans="1:29">
      <c r="A20" s="84">
        <v>13</v>
      </c>
      <c r="B20" s="84"/>
      <c r="C20" s="84"/>
      <c r="D20" s="84"/>
      <c r="E20" s="84"/>
      <c r="F20" s="84">
        <v>1</v>
      </c>
      <c r="G20" s="84">
        <v>7</v>
      </c>
      <c r="H20" s="84">
        <v>8</v>
      </c>
      <c r="I20" s="84">
        <v>8</v>
      </c>
      <c r="J20" s="84">
        <v>14</v>
      </c>
      <c r="K20" s="84">
        <v>19</v>
      </c>
      <c r="L20" s="84">
        <v>9</v>
      </c>
      <c r="M20" s="84">
        <v>5</v>
      </c>
      <c r="N20" s="84">
        <v>5</v>
      </c>
      <c r="O20" s="84">
        <v>3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>
        <v>79</v>
      </c>
    </row>
    <row r="21" spans="1:29">
      <c r="A21" s="84">
        <v>14</v>
      </c>
      <c r="B21" s="84"/>
      <c r="C21" s="84"/>
      <c r="D21" s="84"/>
      <c r="E21" s="84"/>
      <c r="F21" s="84"/>
      <c r="G21" s="84">
        <v>1</v>
      </c>
      <c r="H21" s="84">
        <v>9</v>
      </c>
      <c r="I21" s="84">
        <v>6</v>
      </c>
      <c r="J21" s="84">
        <v>7</v>
      </c>
      <c r="K21" s="84">
        <v>15</v>
      </c>
      <c r="L21" s="84">
        <v>6</v>
      </c>
      <c r="M21" s="84">
        <v>10</v>
      </c>
      <c r="N21" s="84">
        <v>3</v>
      </c>
      <c r="O21" s="84">
        <v>2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>
        <v>59</v>
      </c>
    </row>
    <row r="22" spans="1:29">
      <c r="A22" s="84">
        <v>15</v>
      </c>
      <c r="B22" s="84"/>
      <c r="C22" s="84"/>
      <c r="D22" s="84"/>
      <c r="E22" s="84"/>
      <c r="F22" s="84">
        <v>2</v>
      </c>
      <c r="G22" s="84">
        <v>2</v>
      </c>
      <c r="H22" s="84">
        <v>7</v>
      </c>
      <c r="I22" s="84">
        <v>12</v>
      </c>
      <c r="J22" s="84">
        <v>13</v>
      </c>
      <c r="K22" s="84">
        <v>10</v>
      </c>
      <c r="L22" s="84">
        <v>7</v>
      </c>
      <c r="M22" s="84">
        <v>15</v>
      </c>
      <c r="N22" s="84">
        <v>8</v>
      </c>
      <c r="O22" s="84">
        <v>4</v>
      </c>
      <c r="P22" s="84">
        <v>3</v>
      </c>
      <c r="Q22" s="84"/>
      <c r="R22" s="84">
        <v>1</v>
      </c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>
        <v>84</v>
      </c>
    </row>
    <row r="23" spans="1:29">
      <c r="A23" s="84">
        <v>16</v>
      </c>
      <c r="B23" s="84"/>
      <c r="C23" s="84"/>
      <c r="D23" s="84"/>
      <c r="E23" s="84"/>
      <c r="F23" s="84">
        <v>1</v>
      </c>
      <c r="G23" s="84">
        <v>4</v>
      </c>
      <c r="H23" s="84">
        <v>1</v>
      </c>
      <c r="I23" s="84">
        <v>6</v>
      </c>
      <c r="J23" s="84">
        <v>8</v>
      </c>
      <c r="K23" s="84">
        <v>16</v>
      </c>
      <c r="L23" s="84">
        <v>8</v>
      </c>
      <c r="M23" s="84">
        <v>6</v>
      </c>
      <c r="N23" s="84">
        <v>8</v>
      </c>
      <c r="O23" s="84">
        <v>11</v>
      </c>
      <c r="P23" s="84">
        <v>6</v>
      </c>
      <c r="Q23" s="84">
        <v>2</v>
      </c>
      <c r="R23" s="84">
        <v>1</v>
      </c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>
        <v>78</v>
      </c>
    </row>
    <row r="24" spans="1:29">
      <c r="A24" s="84">
        <v>17</v>
      </c>
      <c r="B24" s="84"/>
      <c r="C24" s="84"/>
      <c r="D24" s="84"/>
      <c r="E24" s="84"/>
      <c r="F24" s="84"/>
      <c r="G24" s="84"/>
      <c r="H24" s="84"/>
      <c r="I24" s="84">
        <v>1</v>
      </c>
      <c r="J24" s="84">
        <v>4</v>
      </c>
      <c r="K24" s="84">
        <v>11</v>
      </c>
      <c r="L24" s="84">
        <v>15</v>
      </c>
      <c r="M24" s="84">
        <v>14</v>
      </c>
      <c r="N24" s="84">
        <v>11</v>
      </c>
      <c r="O24" s="84">
        <v>11</v>
      </c>
      <c r="P24" s="84">
        <v>3</v>
      </c>
      <c r="Q24" s="84">
        <v>3</v>
      </c>
      <c r="R24" s="84">
        <v>1</v>
      </c>
      <c r="S24" s="84">
        <v>1</v>
      </c>
      <c r="T24" s="84"/>
      <c r="U24" s="84"/>
      <c r="V24" s="84"/>
      <c r="W24" s="84"/>
      <c r="X24" s="84"/>
      <c r="Y24" s="84"/>
      <c r="Z24" s="84"/>
      <c r="AA24" s="84"/>
      <c r="AB24" s="84"/>
      <c r="AC24" s="84">
        <v>75</v>
      </c>
    </row>
    <row r="25" spans="1:29">
      <c r="A25" s="84">
        <v>18</v>
      </c>
      <c r="B25" s="84"/>
      <c r="C25" s="84"/>
      <c r="D25" s="84"/>
      <c r="E25" s="84"/>
      <c r="F25" s="84">
        <v>1</v>
      </c>
      <c r="G25" s="84">
        <v>1</v>
      </c>
      <c r="H25" s="84">
        <v>4</v>
      </c>
      <c r="I25" s="84">
        <v>4</v>
      </c>
      <c r="J25" s="84">
        <v>9</v>
      </c>
      <c r="K25" s="84">
        <v>11</v>
      </c>
      <c r="L25" s="84">
        <v>8</v>
      </c>
      <c r="M25" s="84">
        <v>15</v>
      </c>
      <c r="N25" s="84">
        <v>13</v>
      </c>
      <c r="O25" s="84">
        <v>8</v>
      </c>
      <c r="P25" s="84">
        <v>10</v>
      </c>
      <c r="Q25" s="84">
        <v>6</v>
      </c>
      <c r="R25" s="84">
        <v>9</v>
      </c>
      <c r="S25" s="84">
        <v>1</v>
      </c>
      <c r="T25" s="84">
        <v>1</v>
      </c>
      <c r="U25" s="84">
        <v>1</v>
      </c>
      <c r="V25" s="84"/>
      <c r="W25" s="84"/>
      <c r="X25" s="84"/>
      <c r="Y25" s="84"/>
      <c r="Z25" s="84"/>
      <c r="AA25" s="84"/>
      <c r="AB25" s="84"/>
      <c r="AC25" s="84">
        <v>102</v>
      </c>
    </row>
    <row r="26" spans="1:29">
      <c r="A26" s="84">
        <v>19</v>
      </c>
      <c r="B26" s="84"/>
      <c r="C26" s="84"/>
      <c r="D26" s="84"/>
      <c r="E26" s="84"/>
      <c r="F26" s="84"/>
      <c r="G26" s="84"/>
      <c r="H26" s="84"/>
      <c r="I26" s="84">
        <v>2</v>
      </c>
      <c r="J26" s="84">
        <v>5</v>
      </c>
      <c r="K26" s="84">
        <v>10</v>
      </c>
      <c r="L26" s="84">
        <v>8</v>
      </c>
      <c r="M26" s="84">
        <v>8</v>
      </c>
      <c r="N26" s="84">
        <v>10</v>
      </c>
      <c r="O26" s="84">
        <v>8</v>
      </c>
      <c r="P26" s="84">
        <v>11</v>
      </c>
      <c r="Q26" s="84">
        <v>10</v>
      </c>
      <c r="R26" s="84">
        <v>5</v>
      </c>
      <c r="S26" s="84">
        <v>2</v>
      </c>
      <c r="T26" s="84"/>
      <c r="U26" s="84">
        <v>1</v>
      </c>
      <c r="V26" s="84"/>
      <c r="W26" s="84"/>
      <c r="X26" s="84"/>
      <c r="Y26" s="84"/>
      <c r="Z26" s="84"/>
      <c r="AA26" s="84"/>
      <c r="AB26" s="84"/>
      <c r="AC26" s="84">
        <v>80</v>
      </c>
    </row>
    <row r="27" spans="1:29">
      <c r="A27" s="84">
        <v>20</v>
      </c>
      <c r="B27" s="84"/>
      <c r="C27" s="84"/>
      <c r="D27" s="84"/>
      <c r="E27" s="84"/>
      <c r="F27" s="84"/>
      <c r="G27" s="84"/>
      <c r="H27" s="84">
        <v>1</v>
      </c>
      <c r="I27" s="84">
        <v>2</v>
      </c>
      <c r="J27" s="84">
        <v>4</v>
      </c>
      <c r="K27" s="84">
        <v>6</v>
      </c>
      <c r="L27" s="84">
        <v>7</v>
      </c>
      <c r="M27" s="84">
        <v>10</v>
      </c>
      <c r="N27" s="84">
        <v>19</v>
      </c>
      <c r="O27" s="84">
        <v>12</v>
      </c>
      <c r="P27" s="84">
        <v>10</v>
      </c>
      <c r="Q27" s="84">
        <v>3</v>
      </c>
      <c r="R27" s="84">
        <v>7</v>
      </c>
      <c r="S27" s="84">
        <v>5</v>
      </c>
      <c r="T27" s="84">
        <v>4</v>
      </c>
      <c r="U27" s="84">
        <v>1</v>
      </c>
      <c r="V27" s="84">
        <v>1</v>
      </c>
      <c r="W27" s="84"/>
      <c r="X27" s="84"/>
      <c r="Y27" s="84"/>
      <c r="Z27" s="84"/>
      <c r="AA27" s="84"/>
      <c r="AB27" s="84"/>
      <c r="AC27" s="84">
        <v>92</v>
      </c>
    </row>
    <row r="28" spans="1:29">
      <c r="A28" s="84">
        <v>21</v>
      </c>
      <c r="B28" s="84"/>
      <c r="C28" s="84"/>
      <c r="D28" s="84"/>
      <c r="E28" s="84"/>
      <c r="F28" s="84"/>
      <c r="G28" s="84"/>
      <c r="H28" s="84"/>
      <c r="I28" s="84"/>
      <c r="J28" s="84">
        <v>1</v>
      </c>
      <c r="K28" s="84">
        <v>4</v>
      </c>
      <c r="L28" s="84">
        <v>6</v>
      </c>
      <c r="M28" s="84">
        <v>5</v>
      </c>
      <c r="N28" s="84">
        <v>16</v>
      </c>
      <c r="O28" s="84">
        <v>11</v>
      </c>
      <c r="P28" s="84">
        <v>8</v>
      </c>
      <c r="Q28" s="84">
        <v>11</v>
      </c>
      <c r="R28" s="84">
        <v>8</v>
      </c>
      <c r="S28" s="84">
        <v>9</v>
      </c>
      <c r="T28" s="84">
        <v>1</v>
      </c>
      <c r="U28" s="84"/>
      <c r="V28" s="84">
        <v>1</v>
      </c>
      <c r="W28" s="84"/>
      <c r="X28" s="84"/>
      <c r="Y28" s="84"/>
      <c r="Z28" s="84"/>
      <c r="AA28" s="84"/>
      <c r="AB28" s="84"/>
      <c r="AC28" s="84">
        <v>81</v>
      </c>
    </row>
    <row r="29" spans="1:29">
      <c r="A29" s="84">
        <v>22</v>
      </c>
      <c r="B29" s="84"/>
      <c r="C29" s="84"/>
      <c r="D29" s="84"/>
      <c r="E29" s="84"/>
      <c r="F29" s="84"/>
      <c r="G29" s="84"/>
      <c r="H29" s="84"/>
      <c r="I29" s="84">
        <v>2</v>
      </c>
      <c r="J29" s="84">
        <v>4</v>
      </c>
      <c r="K29" s="84">
        <v>3</v>
      </c>
      <c r="L29" s="84">
        <v>8</v>
      </c>
      <c r="M29" s="84">
        <v>5</v>
      </c>
      <c r="N29" s="84">
        <v>8</v>
      </c>
      <c r="O29" s="84">
        <v>17</v>
      </c>
      <c r="P29" s="84">
        <v>11</v>
      </c>
      <c r="Q29" s="84">
        <v>8</v>
      </c>
      <c r="R29" s="84">
        <v>14</v>
      </c>
      <c r="S29" s="84"/>
      <c r="T29" s="84">
        <v>7</v>
      </c>
      <c r="U29" s="84">
        <v>2</v>
      </c>
      <c r="V29" s="84">
        <v>1</v>
      </c>
      <c r="W29" s="84"/>
      <c r="X29" s="84"/>
      <c r="Y29" s="84"/>
      <c r="Z29" s="84"/>
      <c r="AA29" s="84"/>
      <c r="AB29" s="84"/>
      <c r="AC29" s="84">
        <v>90</v>
      </c>
    </row>
    <row r="30" spans="1:29">
      <c r="A30" s="84">
        <v>23</v>
      </c>
      <c r="B30" s="84"/>
      <c r="C30" s="84"/>
      <c r="D30" s="84"/>
      <c r="E30" s="84"/>
      <c r="F30" s="84"/>
      <c r="G30" s="84"/>
      <c r="H30" s="84">
        <v>1</v>
      </c>
      <c r="I30" s="84"/>
      <c r="J30" s="84">
        <v>3</v>
      </c>
      <c r="K30" s="84">
        <v>6</v>
      </c>
      <c r="L30" s="84">
        <v>4</v>
      </c>
      <c r="M30" s="84">
        <v>12</v>
      </c>
      <c r="N30" s="84">
        <v>11</v>
      </c>
      <c r="O30" s="84">
        <v>14</v>
      </c>
      <c r="P30" s="84">
        <v>9</v>
      </c>
      <c r="Q30" s="84">
        <v>20</v>
      </c>
      <c r="R30" s="84">
        <v>12</v>
      </c>
      <c r="S30" s="84">
        <v>4</v>
      </c>
      <c r="T30" s="84">
        <v>1</v>
      </c>
      <c r="U30" s="84">
        <v>1</v>
      </c>
      <c r="V30" s="84">
        <v>1</v>
      </c>
      <c r="W30" s="84">
        <v>1</v>
      </c>
      <c r="X30" s="84">
        <v>1</v>
      </c>
      <c r="Y30" s="84"/>
      <c r="Z30" s="84"/>
      <c r="AA30" s="84"/>
      <c r="AB30" s="84"/>
      <c r="AC30" s="84">
        <v>101</v>
      </c>
    </row>
    <row r="31" spans="1:29">
      <c r="A31" s="84">
        <v>24</v>
      </c>
      <c r="B31" s="84"/>
      <c r="C31" s="84"/>
      <c r="D31" s="84"/>
      <c r="E31" s="84"/>
      <c r="F31" s="84"/>
      <c r="G31" s="84"/>
      <c r="H31" s="84"/>
      <c r="I31" s="84"/>
      <c r="J31" s="84">
        <v>3</v>
      </c>
      <c r="K31" s="84">
        <v>2</v>
      </c>
      <c r="L31" s="84">
        <v>3</v>
      </c>
      <c r="M31" s="84">
        <v>5</v>
      </c>
      <c r="N31" s="84">
        <v>15</v>
      </c>
      <c r="O31" s="84">
        <v>14</v>
      </c>
      <c r="P31" s="84">
        <v>10</v>
      </c>
      <c r="Q31" s="84">
        <v>11</v>
      </c>
      <c r="R31" s="84">
        <v>9</v>
      </c>
      <c r="S31" s="84">
        <v>8</v>
      </c>
      <c r="T31" s="84">
        <v>11</v>
      </c>
      <c r="U31" s="84">
        <v>1</v>
      </c>
      <c r="V31" s="84">
        <v>3</v>
      </c>
      <c r="W31" s="84">
        <v>2</v>
      </c>
      <c r="X31" s="84"/>
      <c r="Y31" s="84"/>
      <c r="Z31" s="84"/>
      <c r="AA31" s="84"/>
      <c r="AB31" s="84"/>
      <c r="AC31" s="84">
        <v>97</v>
      </c>
    </row>
    <row r="32" spans="1:29">
      <c r="A32" s="84">
        <v>25</v>
      </c>
      <c r="B32" s="84"/>
      <c r="C32" s="84"/>
      <c r="D32" s="84"/>
      <c r="E32" s="84"/>
      <c r="F32" s="84"/>
      <c r="G32" s="84">
        <v>2</v>
      </c>
      <c r="H32" s="84"/>
      <c r="I32" s="84"/>
      <c r="J32" s="84">
        <v>2</v>
      </c>
      <c r="K32" s="84"/>
      <c r="L32" s="84">
        <v>4</v>
      </c>
      <c r="M32" s="84">
        <v>4</v>
      </c>
      <c r="N32" s="84">
        <v>6</v>
      </c>
      <c r="O32" s="84">
        <v>16</v>
      </c>
      <c r="P32" s="84">
        <v>12</v>
      </c>
      <c r="Q32" s="84">
        <v>7</v>
      </c>
      <c r="R32" s="84">
        <v>5</v>
      </c>
      <c r="S32" s="84">
        <v>9</v>
      </c>
      <c r="T32" s="84">
        <v>5</v>
      </c>
      <c r="U32" s="84">
        <v>6</v>
      </c>
      <c r="V32" s="84">
        <v>3</v>
      </c>
      <c r="W32" s="84">
        <v>1</v>
      </c>
      <c r="X32" s="84"/>
      <c r="Y32" s="84"/>
      <c r="Z32" s="84"/>
      <c r="AA32" s="84"/>
      <c r="AB32" s="84"/>
      <c r="AC32" s="84">
        <v>82</v>
      </c>
    </row>
    <row r="33" spans="1:29">
      <c r="A33" s="84">
        <v>26</v>
      </c>
      <c r="B33" s="84"/>
      <c r="C33" s="84"/>
      <c r="D33" s="84"/>
      <c r="E33" s="84"/>
      <c r="F33" s="84"/>
      <c r="G33" s="84"/>
      <c r="H33" s="84"/>
      <c r="I33" s="84"/>
      <c r="J33" s="84"/>
      <c r="K33" s="84">
        <v>1</v>
      </c>
      <c r="L33" s="84">
        <v>1</v>
      </c>
      <c r="M33" s="84">
        <v>3</v>
      </c>
      <c r="N33" s="84">
        <v>6</v>
      </c>
      <c r="O33" s="84">
        <v>3</v>
      </c>
      <c r="P33" s="84">
        <v>4</v>
      </c>
      <c r="Q33" s="84">
        <v>8</v>
      </c>
      <c r="R33" s="84">
        <v>10</v>
      </c>
      <c r="S33" s="84">
        <v>7</v>
      </c>
      <c r="T33" s="84">
        <v>10</v>
      </c>
      <c r="U33" s="84">
        <v>10</v>
      </c>
      <c r="V33" s="84">
        <v>5</v>
      </c>
      <c r="W33" s="84">
        <v>1</v>
      </c>
      <c r="X33" s="84">
        <v>2</v>
      </c>
      <c r="Y33" s="84"/>
      <c r="Z33" s="84"/>
      <c r="AA33" s="84"/>
      <c r="AB33" s="84"/>
      <c r="AC33" s="84">
        <v>71</v>
      </c>
    </row>
    <row r="34" spans="1:29">
      <c r="A34" s="84">
        <v>27</v>
      </c>
      <c r="B34" s="84"/>
      <c r="C34" s="84"/>
      <c r="D34" s="84"/>
      <c r="E34" s="84"/>
      <c r="F34" s="84"/>
      <c r="G34" s="84"/>
      <c r="H34" s="84"/>
      <c r="I34" s="84"/>
      <c r="J34" s="84"/>
      <c r="K34" s="84">
        <v>2</v>
      </c>
      <c r="L34" s="84">
        <v>2</v>
      </c>
      <c r="M34" s="84">
        <v>4</v>
      </c>
      <c r="N34" s="84">
        <v>5</v>
      </c>
      <c r="O34" s="84">
        <v>13</v>
      </c>
      <c r="P34" s="84">
        <v>8</v>
      </c>
      <c r="Q34" s="84">
        <v>7</v>
      </c>
      <c r="R34" s="84">
        <v>10</v>
      </c>
      <c r="S34" s="84">
        <v>11</v>
      </c>
      <c r="T34" s="84">
        <v>8</v>
      </c>
      <c r="U34" s="84">
        <v>3</v>
      </c>
      <c r="V34" s="84">
        <v>6</v>
      </c>
      <c r="W34" s="84">
        <v>4</v>
      </c>
      <c r="X34" s="84">
        <v>2</v>
      </c>
      <c r="Y34" s="84">
        <v>2</v>
      </c>
      <c r="Z34" s="84">
        <v>2</v>
      </c>
      <c r="AA34" s="84"/>
      <c r="AB34" s="84"/>
      <c r="AC34" s="84">
        <v>89</v>
      </c>
    </row>
    <row r="35" spans="1:29">
      <c r="A35" s="84">
        <v>28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>
        <v>1</v>
      </c>
      <c r="M35" s="84">
        <v>5</v>
      </c>
      <c r="N35" s="84">
        <v>3</v>
      </c>
      <c r="O35" s="84">
        <v>5</v>
      </c>
      <c r="P35" s="84">
        <v>6</v>
      </c>
      <c r="Q35" s="84">
        <v>5</v>
      </c>
      <c r="R35" s="84">
        <v>14</v>
      </c>
      <c r="S35" s="84">
        <v>5</v>
      </c>
      <c r="T35" s="84">
        <v>8</v>
      </c>
      <c r="U35" s="84">
        <v>9</v>
      </c>
      <c r="V35" s="84">
        <v>4</v>
      </c>
      <c r="W35" s="84">
        <v>3</v>
      </c>
      <c r="X35" s="84">
        <v>2</v>
      </c>
      <c r="Y35" s="84">
        <v>1</v>
      </c>
      <c r="Z35" s="84">
        <v>1</v>
      </c>
      <c r="AA35" s="84"/>
      <c r="AB35" s="84"/>
      <c r="AC35" s="84">
        <v>72</v>
      </c>
    </row>
    <row r="36" spans="1:29">
      <c r="A36" s="84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4">
        <v>2</v>
      </c>
      <c r="L36" s="84">
        <v>2</v>
      </c>
      <c r="M36" s="84">
        <v>2</v>
      </c>
      <c r="N36" s="84">
        <v>3</v>
      </c>
      <c r="O36" s="84">
        <v>5</v>
      </c>
      <c r="P36" s="84">
        <v>4</v>
      </c>
      <c r="Q36" s="84">
        <v>1</v>
      </c>
      <c r="R36" s="84">
        <v>8</v>
      </c>
      <c r="S36" s="84">
        <v>7</v>
      </c>
      <c r="T36" s="84">
        <v>6</v>
      </c>
      <c r="U36" s="84">
        <v>10</v>
      </c>
      <c r="V36" s="84">
        <v>4</v>
      </c>
      <c r="W36" s="84">
        <v>2</v>
      </c>
      <c r="X36" s="84">
        <v>1</v>
      </c>
      <c r="Y36" s="84">
        <v>1</v>
      </c>
      <c r="Z36" s="84">
        <v>1</v>
      </c>
      <c r="AA36" s="84"/>
      <c r="AB36" s="84"/>
      <c r="AC36" s="84">
        <v>59</v>
      </c>
    </row>
    <row r="37" spans="1:29">
      <c r="A37" s="84">
        <v>30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>
        <v>4</v>
      </c>
      <c r="N37" s="84">
        <v>2</v>
      </c>
      <c r="O37" s="84">
        <v>3</v>
      </c>
      <c r="P37" s="84">
        <v>7</v>
      </c>
      <c r="Q37" s="84">
        <v>9</v>
      </c>
      <c r="R37" s="84">
        <v>6</v>
      </c>
      <c r="S37" s="84">
        <v>3</v>
      </c>
      <c r="T37" s="84">
        <v>7</v>
      </c>
      <c r="U37" s="84">
        <v>5</v>
      </c>
      <c r="V37" s="84">
        <v>3</v>
      </c>
      <c r="W37" s="84">
        <v>4</v>
      </c>
      <c r="X37" s="84">
        <v>3</v>
      </c>
      <c r="Y37" s="84">
        <v>2</v>
      </c>
      <c r="Z37" s="84"/>
      <c r="AA37" s="84"/>
      <c r="AB37" s="84"/>
      <c r="AC37" s="84">
        <v>58</v>
      </c>
    </row>
    <row r="38" spans="1:29">
      <c r="A38" s="84">
        <v>31</v>
      </c>
      <c r="B38" s="84"/>
      <c r="C38" s="84"/>
      <c r="D38" s="84"/>
      <c r="E38" s="84"/>
      <c r="F38" s="84"/>
      <c r="G38" s="84"/>
      <c r="H38" s="84"/>
      <c r="I38" s="84"/>
      <c r="J38" s="84"/>
      <c r="K38" s="84">
        <v>1</v>
      </c>
      <c r="L38" s="84">
        <v>1</v>
      </c>
      <c r="M38" s="84">
        <v>1</v>
      </c>
      <c r="N38" s="84">
        <v>3</v>
      </c>
      <c r="O38" s="84">
        <v>6</v>
      </c>
      <c r="P38" s="84">
        <v>7</v>
      </c>
      <c r="Q38" s="84">
        <v>4</v>
      </c>
      <c r="R38" s="84">
        <v>6</v>
      </c>
      <c r="S38" s="84">
        <v>5</v>
      </c>
      <c r="T38" s="84">
        <v>8</v>
      </c>
      <c r="U38" s="84">
        <v>4</v>
      </c>
      <c r="V38" s="84">
        <v>4</v>
      </c>
      <c r="W38" s="84">
        <v>5</v>
      </c>
      <c r="X38" s="84">
        <v>1</v>
      </c>
      <c r="Y38" s="84"/>
      <c r="Z38" s="84">
        <v>1</v>
      </c>
      <c r="AA38" s="84"/>
      <c r="AB38" s="84"/>
      <c r="AC38" s="84">
        <v>57</v>
      </c>
    </row>
    <row r="39" spans="1:29">
      <c r="A39" s="84">
        <v>32</v>
      </c>
      <c r="B39" s="84"/>
      <c r="C39" s="84"/>
      <c r="D39" s="84"/>
      <c r="E39" s="84"/>
      <c r="F39" s="84"/>
      <c r="G39" s="84"/>
      <c r="H39" s="84" t="s">
        <v>1542</v>
      </c>
      <c r="I39" s="84"/>
      <c r="J39" s="84"/>
      <c r="K39" s="84"/>
      <c r="L39" s="84">
        <v>3</v>
      </c>
      <c r="M39" s="84">
        <v>2</v>
      </c>
      <c r="N39" s="84">
        <v>4</v>
      </c>
      <c r="O39" s="84">
        <v>1</v>
      </c>
      <c r="P39" s="84">
        <v>2</v>
      </c>
      <c r="Q39" s="84">
        <v>4</v>
      </c>
      <c r="R39" s="84">
        <v>3</v>
      </c>
      <c r="S39" s="84">
        <v>5</v>
      </c>
      <c r="T39" s="84">
        <v>1</v>
      </c>
      <c r="U39" s="84">
        <v>3</v>
      </c>
      <c r="V39" s="84">
        <v>5</v>
      </c>
      <c r="W39" s="84">
        <v>4</v>
      </c>
      <c r="X39" s="84">
        <v>2</v>
      </c>
      <c r="Y39" s="84">
        <v>1</v>
      </c>
      <c r="Z39" s="84"/>
      <c r="AA39" s="84">
        <v>1</v>
      </c>
      <c r="AB39" s="84"/>
      <c r="AC39" s="84">
        <v>41</v>
      </c>
    </row>
    <row r="40" spans="1:29">
      <c r="A40" s="84">
        <v>33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>
        <v>3</v>
      </c>
      <c r="N40" s="84">
        <v>3</v>
      </c>
      <c r="O40" s="84">
        <v>3</v>
      </c>
      <c r="P40" s="84">
        <v>2</v>
      </c>
      <c r="Q40" s="84">
        <v>2</v>
      </c>
      <c r="R40" s="84">
        <v>2</v>
      </c>
      <c r="S40" s="84">
        <v>4</v>
      </c>
      <c r="T40" s="84">
        <v>8</v>
      </c>
      <c r="U40" s="84">
        <v>7</v>
      </c>
      <c r="V40" s="84">
        <v>2</v>
      </c>
      <c r="W40" s="84">
        <v>6</v>
      </c>
      <c r="X40" s="84">
        <v>1</v>
      </c>
      <c r="Y40" s="84"/>
      <c r="Z40" s="84">
        <v>2</v>
      </c>
      <c r="AA40" s="84"/>
      <c r="AB40" s="84">
        <v>1</v>
      </c>
      <c r="AC40" s="84">
        <v>46</v>
      </c>
    </row>
    <row r="41" spans="1:29">
      <c r="A41" s="84">
        <v>34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>
        <v>1</v>
      </c>
      <c r="M41" s="84">
        <v>3</v>
      </c>
      <c r="N41" s="84">
        <v>1</v>
      </c>
      <c r="O41" s="84">
        <v>2</v>
      </c>
      <c r="P41" s="84"/>
      <c r="Q41" s="84">
        <v>4</v>
      </c>
      <c r="R41" s="84">
        <v>6</v>
      </c>
      <c r="S41" s="84">
        <v>3</v>
      </c>
      <c r="T41" s="84">
        <v>5</v>
      </c>
      <c r="U41" s="84">
        <v>5</v>
      </c>
      <c r="V41" s="84">
        <v>1</v>
      </c>
      <c r="W41" s="84">
        <v>6</v>
      </c>
      <c r="X41" s="84">
        <v>2</v>
      </c>
      <c r="Y41" s="84">
        <v>2</v>
      </c>
      <c r="Z41" s="84"/>
      <c r="AA41" s="84"/>
      <c r="AB41" s="84">
        <v>1</v>
      </c>
      <c r="AC41" s="84">
        <v>42</v>
      </c>
    </row>
    <row r="42" spans="1:29">
      <c r="A42" s="84">
        <v>35</v>
      </c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>
        <v>1</v>
      </c>
      <c r="N42" s="84">
        <v>4</v>
      </c>
      <c r="O42" s="84">
        <v>2</v>
      </c>
      <c r="P42" s="84"/>
      <c r="Q42" s="84">
        <v>5</v>
      </c>
      <c r="R42" s="84"/>
      <c r="S42" s="84">
        <v>3</v>
      </c>
      <c r="T42" s="84">
        <v>3</v>
      </c>
      <c r="U42" s="84">
        <v>2</v>
      </c>
      <c r="V42" s="84">
        <v>1</v>
      </c>
      <c r="W42" s="84">
        <v>2</v>
      </c>
      <c r="X42" s="84"/>
      <c r="Y42" s="84">
        <v>2</v>
      </c>
      <c r="Z42" s="84"/>
      <c r="AA42" s="84"/>
      <c r="AB42" s="84"/>
      <c r="AC42" s="84">
        <v>25</v>
      </c>
    </row>
    <row r="43" spans="1:29">
      <c r="A43" s="84">
        <v>36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>
        <v>3</v>
      </c>
      <c r="O43" s="84">
        <v>1</v>
      </c>
      <c r="P43" s="84">
        <v>1</v>
      </c>
      <c r="Q43" s="84">
        <v>5</v>
      </c>
      <c r="R43" s="84">
        <v>4</v>
      </c>
      <c r="S43" s="84">
        <v>2</v>
      </c>
      <c r="T43" s="84">
        <v>2</v>
      </c>
      <c r="U43" s="84"/>
      <c r="V43" s="84">
        <v>3</v>
      </c>
      <c r="W43" s="84"/>
      <c r="X43" s="84">
        <v>1</v>
      </c>
      <c r="Y43" s="84">
        <v>2</v>
      </c>
      <c r="Z43" s="84"/>
      <c r="AA43" s="84">
        <v>1</v>
      </c>
      <c r="AB43" s="84"/>
      <c r="AC43" s="84">
        <v>25</v>
      </c>
    </row>
    <row r="44" spans="1:29">
      <c r="A44" s="84">
        <v>37</v>
      </c>
      <c r="B44" s="84"/>
      <c r="C44" s="84"/>
      <c r="D44" s="84"/>
      <c r="E44" s="84"/>
      <c r="F44" s="84"/>
      <c r="G44" s="84"/>
      <c r="H44" s="84"/>
      <c r="I44" s="84">
        <v>1</v>
      </c>
      <c r="J44" s="84"/>
      <c r="K44" s="84"/>
      <c r="L44" s="84">
        <v>1</v>
      </c>
      <c r="M44" s="84"/>
      <c r="N44" s="84"/>
      <c r="O44" s="84"/>
      <c r="P44" s="84"/>
      <c r="Q44" s="84">
        <v>4</v>
      </c>
      <c r="R44" s="84">
        <v>2</v>
      </c>
      <c r="S44" s="84">
        <v>1</v>
      </c>
      <c r="T44" s="84">
        <v>1</v>
      </c>
      <c r="U44" s="84">
        <v>2</v>
      </c>
      <c r="V44" s="84">
        <v>1</v>
      </c>
      <c r="W44" s="84">
        <v>2</v>
      </c>
      <c r="X44" s="84">
        <v>3</v>
      </c>
      <c r="Y44" s="84">
        <v>1</v>
      </c>
      <c r="Z44" s="84">
        <v>1</v>
      </c>
      <c r="AA44" s="84"/>
      <c r="AB44" s="84">
        <v>1</v>
      </c>
      <c r="AC44" s="84">
        <v>21</v>
      </c>
    </row>
    <row r="45" spans="1:29">
      <c r="A45" s="84">
        <v>38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>
        <v>1</v>
      </c>
      <c r="N45" s="84"/>
      <c r="O45" s="84"/>
      <c r="P45" s="84"/>
      <c r="Q45" s="84">
        <v>2</v>
      </c>
      <c r="R45" s="84">
        <v>2</v>
      </c>
      <c r="S45" s="84">
        <v>1</v>
      </c>
      <c r="T45" s="84"/>
      <c r="U45" s="84">
        <v>5</v>
      </c>
      <c r="V45" s="84">
        <v>1</v>
      </c>
      <c r="W45" s="84">
        <v>1</v>
      </c>
      <c r="X45" s="84"/>
      <c r="Y45" s="84">
        <v>2</v>
      </c>
      <c r="Z45" s="84"/>
      <c r="AA45" s="84">
        <v>1</v>
      </c>
      <c r="AB45" s="84">
        <v>1</v>
      </c>
      <c r="AC45" s="84">
        <v>17</v>
      </c>
    </row>
    <row r="46" spans="1:29">
      <c r="A46" s="84">
        <v>39</v>
      </c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>
        <v>1</v>
      </c>
      <c r="O46" s="84">
        <v>1</v>
      </c>
      <c r="P46" s="84">
        <v>2</v>
      </c>
      <c r="Q46" s="84"/>
      <c r="R46" s="84"/>
      <c r="S46" s="84"/>
      <c r="T46" s="84">
        <v>3</v>
      </c>
      <c r="U46" s="84">
        <v>5</v>
      </c>
      <c r="V46" s="84"/>
      <c r="W46" s="84">
        <v>3</v>
      </c>
      <c r="X46" s="84">
        <v>1</v>
      </c>
      <c r="Y46" s="84">
        <v>1</v>
      </c>
      <c r="Z46" s="84">
        <v>1</v>
      </c>
      <c r="AA46" s="84"/>
      <c r="AB46" s="84"/>
      <c r="AC46" s="84">
        <v>18</v>
      </c>
    </row>
    <row r="47" spans="1:29">
      <c r="A47" s="84">
        <v>40</v>
      </c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>
        <v>1</v>
      </c>
      <c r="Q47" s="84"/>
      <c r="R47" s="84">
        <v>1</v>
      </c>
      <c r="S47" s="84"/>
      <c r="T47" s="84">
        <v>1</v>
      </c>
      <c r="U47" s="84">
        <v>3</v>
      </c>
      <c r="V47" s="84">
        <v>1</v>
      </c>
      <c r="W47" s="84">
        <v>2</v>
      </c>
      <c r="X47" s="84">
        <v>1</v>
      </c>
      <c r="Y47" s="84">
        <v>1</v>
      </c>
      <c r="Z47" s="84"/>
      <c r="AA47" s="84"/>
      <c r="AB47" s="84"/>
      <c r="AC47" s="84">
        <v>11</v>
      </c>
    </row>
    <row r="48" spans="1:29">
      <c r="A48" s="84">
        <v>41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>
        <v>1</v>
      </c>
      <c r="M48" s="84"/>
      <c r="N48" s="84"/>
      <c r="O48" s="84"/>
      <c r="P48" s="84">
        <v>2</v>
      </c>
      <c r="Q48" s="84"/>
      <c r="R48" s="84">
        <v>1</v>
      </c>
      <c r="S48" s="84"/>
      <c r="T48" s="84">
        <v>2</v>
      </c>
      <c r="U48" s="84">
        <v>1</v>
      </c>
      <c r="V48" s="84"/>
      <c r="W48" s="84"/>
      <c r="X48" s="84">
        <v>2</v>
      </c>
      <c r="Y48" s="84"/>
      <c r="Z48" s="84">
        <v>1</v>
      </c>
      <c r="AA48" s="84">
        <v>1</v>
      </c>
      <c r="AB48" s="84"/>
      <c r="AC48" s="84">
        <v>11</v>
      </c>
    </row>
    <row r="49" spans="1:29">
      <c r="A49" s="84">
        <v>42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>
        <v>2</v>
      </c>
      <c r="S49" s="84"/>
      <c r="T49" s="84"/>
      <c r="U49" s="84">
        <v>2</v>
      </c>
      <c r="V49" s="84">
        <v>2</v>
      </c>
      <c r="W49" s="84"/>
      <c r="X49" s="84"/>
      <c r="Y49" s="84"/>
      <c r="Z49" s="84"/>
      <c r="AA49" s="84"/>
      <c r="AB49" s="84"/>
      <c r="AC49" s="84">
        <v>6</v>
      </c>
    </row>
    <row r="50" spans="1:29">
      <c r="A50" s="84">
        <v>43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>
        <v>1</v>
      </c>
      <c r="W50" s="84"/>
      <c r="X50" s="84"/>
      <c r="Y50" s="84"/>
      <c r="Z50" s="84"/>
      <c r="AA50" s="84">
        <v>1</v>
      </c>
      <c r="AB50" s="84"/>
      <c r="AC50" s="84">
        <v>2</v>
      </c>
    </row>
    <row r="51" spans="1:29">
      <c r="A51" s="84">
        <v>44</v>
      </c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5"/>
      <c r="M51" s="84"/>
      <c r="N51" s="84"/>
      <c r="O51" s="84"/>
      <c r="P51" s="84"/>
      <c r="Q51" s="84"/>
      <c r="R51" s="84"/>
      <c r="S51" s="84">
        <v>1</v>
      </c>
      <c r="T51" s="84"/>
      <c r="U51" s="84"/>
      <c r="V51" s="84"/>
      <c r="W51" s="84"/>
      <c r="X51" s="84"/>
      <c r="Y51" s="84"/>
      <c r="Z51" s="84"/>
      <c r="AA51" s="84"/>
      <c r="AB51" s="84"/>
      <c r="AC51" s="84">
        <v>1</v>
      </c>
    </row>
    <row r="52" spans="1:29">
      <c r="A52" s="84">
        <v>45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>
        <v>1</v>
      </c>
      <c r="T52" s="84"/>
      <c r="U52" s="84"/>
      <c r="V52" s="84"/>
      <c r="W52" s="84"/>
      <c r="X52" s="84"/>
      <c r="Y52" s="84"/>
      <c r="Z52" s="84"/>
      <c r="AA52" s="84"/>
      <c r="AB52" s="84"/>
      <c r="AC52" s="84">
        <v>1</v>
      </c>
    </row>
    <row r="53" spans="1:29">
      <c r="A53" s="84">
        <v>46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>
        <v>1</v>
      </c>
      <c r="S53" s="84">
        <v>1</v>
      </c>
      <c r="T53" s="84"/>
      <c r="U53" s="84"/>
      <c r="V53" s="84"/>
      <c r="W53" s="84"/>
      <c r="X53" s="84"/>
      <c r="Y53" s="84"/>
      <c r="Z53" s="84"/>
      <c r="AA53" s="84"/>
      <c r="AB53" s="84"/>
      <c r="AC53" s="84">
        <v>2</v>
      </c>
    </row>
    <row r="54" spans="1:29">
      <c r="A54" s="84">
        <v>47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>
        <v>1</v>
      </c>
      <c r="Q54" s="84"/>
      <c r="R54" s="84">
        <v>1</v>
      </c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>
        <v>2</v>
      </c>
    </row>
    <row r="55" spans="1:29">
      <c r="A55" s="84">
        <v>48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5"/>
      <c r="N55" s="84"/>
      <c r="O55" s="84"/>
      <c r="P55" s="84"/>
      <c r="Q55" s="84"/>
      <c r="R55" s="84">
        <v>1</v>
      </c>
      <c r="S55" s="84"/>
      <c r="T55" s="84"/>
      <c r="U55" s="84"/>
      <c r="V55" s="84"/>
      <c r="W55" s="84"/>
      <c r="X55" s="84"/>
      <c r="Y55" s="84"/>
      <c r="Z55" s="84"/>
      <c r="AA55" s="84"/>
      <c r="AB55" s="84">
        <v>1</v>
      </c>
      <c r="AC55" s="84">
        <v>2</v>
      </c>
    </row>
    <row r="56" spans="1:29">
      <c r="A56" s="84">
        <v>49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5"/>
      <c r="N56" s="84"/>
      <c r="O56" s="84"/>
      <c r="P56" s="84"/>
      <c r="Q56" s="84"/>
      <c r="R56" s="84"/>
      <c r="S56" s="84"/>
      <c r="T56" s="84"/>
      <c r="U56" s="84">
        <v>1</v>
      </c>
      <c r="V56" s="84"/>
      <c r="W56" s="84"/>
      <c r="X56" s="84"/>
      <c r="Y56" s="84"/>
      <c r="Z56" s="84"/>
      <c r="AA56" s="84"/>
      <c r="AB56" s="84"/>
      <c r="AC56" s="84">
        <v>1</v>
      </c>
    </row>
    <row r="57" spans="1:29">
      <c r="A57" s="84">
        <v>50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5"/>
      <c r="N57" s="84"/>
      <c r="O57" s="84"/>
      <c r="P57" s="84"/>
      <c r="Q57" s="84"/>
      <c r="R57" s="84"/>
      <c r="S57" s="84"/>
      <c r="T57" s="84"/>
      <c r="U57" s="84"/>
      <c r="V57" s="84"/>
      <c r="W57" s="84">
        <v>1</v>
      </c>
      <c r="X57" s="84"/>
      <c r="Y57" s="84"/>
      <c r="Z57" s="84"/>
      <c r="AA57" s="84"/>
      <c r="AB57" s="84"/>
      <c r="AC57" s="84">
        <v>1</v>
      </c>
    </row>
    <row r="58" spans="1:29">
      <c r="A58" s="84">
        <v>51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92"/>
      <c r="N58" s="84"/>
      <c r="O58" s="84"/>
      <c r="P58" s="84">
        <v>1</v>
      </c>
      <c r="Q58" s="84">
        <v>1</v>
      </c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>
        <v>2</v>
      </c>
    </row>
    <row r="59" spans="1:29" ht="45">
      <c r="A59" s="86" t="s">
        <v>1543</v>
      </c>
      <c r="B59" s="91">
        <v>9</v>
      </c>
      <c r="C59" s="91">
        <v>26</v>
      </c>
      <c r="D59" s="91">
        <v>59</v>
      </c>
      <c r="E59" s="91">
        <v>78</v>
      </c>
      <c r="F59" s="91">
        <v>87</v>
      </c>
      <c r="G59" s="91">
        <v>103</v>
      </c>
      <c r="H59" s="91">
        <v>98</v>
      </c>
      <c r="I59" s="91">
        <v>102</v>
      </c>
      <c r="J59" s="91">
        <v>119</v>
      </c>
      <c r="K59" s="91">
        <v>138</v>
      </c>
      <c r="L59" s="91">
        <v>115</v>
      </c>
      <c r="M59" s="88">
        <v>146</v>
      </c>
      <c r="N59" s="91">
        <v>175</v>
      </c>
      <c r="O59" s="91">
        <v>177</v>
      </c>
      <c r="P59" s="86">
        <v>141</v>
      </c>
      <c r="Q59" s="86">
        <v>142</v>
      </c>
      <c r="R59" s="91">
        <v>152</v>
      </c>
      <c r="S59" s="91">
        <v>99</v>
      </c>
      <c r="T59" s="91">
        <v>103</v>
      </c>
      <c r="U59" s="91">
        <v>90</v>
      </c>
      <c r="V59" s="91">
        <v>54</v>
      </c>
      <c r="W59" s="91">
        <v>50</v>
      </c>
      <c r="X59" s="91">
        <v>25</v>
      </c>
      <c r="Y59" s="91">
        <v>18</v>
      </c>
      <c r="Z59" s="91">
        <v>10</v>
      </c>
      <c r="AA59" s="91">
        <v>5</v>
      </c>
      <c r="AB59" s="91">
        <v>5</v>
      </c>
      <c r="AC59" s="86">
        <v>2326</v>
      </c>
    </row>
  </sheetData>
  <mergeCells count="1">
    <mergeCell ref="A5:A7"/>
  </mergeCells>
  <pageMargins left="0.78740157499999996" right="0.78740157499999996" top="0.984251969" bottom="0.984251969" header="0.4921259845" footer="0.492125984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95"/>
  <sheetViews>
    <sheetView topLeftCell="A21" workbookViewId="0">
      <selection activeCell="A33" sqref="A33"/>
    </sheetView>
  </sheetViews>
  <sheetFormatPr baseColWidth="10" defaultRowHeight="12.75"/>
  <cols>
    <col min="1" max="1" width="14" style="177" customWidth="1"/>
    <col min="2" max="2" width="16.140625" style="177" bestFit="1" customWidth="1"/>
    <col min="3" max="3" width="12.42578125" style="177" bestFit="1" customWidth="1"/>
    <col min="4" max="16384" width="11.42578125" style="177"/>
  </cols>
  <sheetData>
    <row r="1" spans="1:11">
      <c r="A1" s="176" t="s">
        <v>1105</v>
      </c>
    </row>
    <row r="2" spans="1:11">
      <c r="A2" s="176" t="s">
        <v>99</v>
      </c>
    </row>
    <row r="3" spans="1:11">
      <c r="A3" s="178"/>
    </row>
    <row r="4" spans="1:11">
      <c r="A4" s="176" t="s">
        <v>1106</v>
      </c>
    </row>
    <row r="5" spans="1:11">
      <c r="A5" s="176" t="s">
        <v>1107</v>
      </c>
    </row>
    <row r="6" spans="1:11">
      <c r="B6" s="178" t="s">
        <v>1108</v>
      </c>
      <c r="C6" s="178"/>
      <c r="D6" s="178" t="s">
        <v>1109</v>
      </c>
    </row>
    <row r="7" spans="1:11">
      <c r="B7" s="218" t="s">
        <v>1110</v>
      </c>
      <c r="C7" s="218" t="s">
        <v>1111</v>
      </c>
      <c r="D7" s="218" t="s">
        <v>1112</v>
      </c>
      <c r="E7" s="218" t="s">
        <v>1113</v>
      </c>
      <c r="F7" s="218" t="s">
        <v>1114</v>
      </c>
      <c r="G7" s="218" t="s">
        <v>1115</v>
      </c>
      <c r="H7" s="218" t="s">
        <v>934</v>
      </c>
      <c r="I7" s="218" t="s">
        <v>1116</v>
      </c>
      <c r="J7" s="218" t="s">
        <v>935</v>
      </c>
      <c r="K7" s="219">
        <v>0.15</v>
      </c>
    </row>
    <row r="8" spans="1:11">
      <c r="A8" s="183" t="s">
        <v>871</v>
      </c>
      <c r="D8" s="178" t="s">
        <v>1110</v>
      </c>
      <c r="E8" s="178" t="s">
        <v>1111</v>
      </c>
      <c r="F8" s="178" t="s">
        <v>1110</v>
      </c>
      <c r="G8" s="178" t="s">
        <v>1111</v>
      </c>
      <c r="H8" s="178" t="s">
        <v>1110</v>
      </c>
      <c r="I8" s="178" t="s">
        <v>1111</v>
      </c>
      <c r="J8" s="178" t="s">
        <v>1110</v>
      </c>
      <c r="K8" s="178" t="s">
        <v>1111</v>
      </c>
    </row>
    <row r="9" spans="1:11">
      <c r="A9" s="178" t="s">
        <v>1117</v>
      </c>
      <c r="B9" s="177">
        <v>0.6</v>
      </c>
      <c r="C9" s="177">
        <v>100</v>
      </c>
      <c r="D9" s="178">
        <v>2.2799999999999998</v>
      </c>
      <c r="E9" s="177">
        <v>380</v>
      </c>
      <c r="F9" s="177">
        <v>1.62</v>
      </c>
      <c r="G9" s="177">
        <v>270</v>
      </c>
      <c r="H9" s="177">
        <v>1.74</v>
      </c>
      <c r="I9" s="177">
        <v>290</v>
      </c>
      <c r="J9" s="177">
        <v>1.02</v>
      </c>
      <c r="K9" s="177">
        <v>170</v>
      </c>
    </row>
    <row r="10" spans="1:11" ht="25.5">
      <c r="A10" s="184" t="s">
        <v>1118</v>
      </c>
      <c r="B10" s="177">
        <v>0.51</v>
      </c>
      <c r="C10" s="177">
        <v>100</v>
      </c>
      <c r="D10" s="177">
        <v>1.51</v>
      </c>
      <c r="E10" s="177">
        <v>296</v>
      </c>
      <c r="F10" s="177">
        <v>1.04</v>
      </c>
      <c r="G10" s="177">
        <v>204</v>
      </c>
      <c r="H10" s="177">
        <v>1.17</v>
      </c>
      <c r="I10" s="177">
        <v>229</v>
      </c>
      <c r="J10" s="177">
        <v>0.84</v>
      </c>
      <c r="K10" s="177">
        <v>165</v>
      </c>
    </row>
    <row r="11" spans="1:11">
      <c r="A11" s="178" t="s">
        <v>1119</v>
      </c>
      <c r="B11" s="177">
        <v>0.09</v>
      </c>
      <c r="C11" s="177">
        <v>100</v>
      </c>
      <c r="D11" s="177">
        <v>0.77</v>
      </c>
      <c r="E11" s="177">
        <v>856</v>
      </c>
      <c r="F11" s="177">
        <v>0.57999999999999996</v>
      </c>
      <c r="G11" s="177">
        <v>644</v>
      </c>
      <c r="H11" s="177">
        <v>0.56000000000000005</v>
      </c>
      <c r="I11" s="177">
        <v>622</v>
      </c>
      <c r="J11" s="177">
        <v>0.19</v>
      </c>
      <c r="K11" s="177">
        <v>211</v>
      </c>
    </row>
    <row r="12" spans="1:11" ht="38.25">
      <c r="A12" s="184" t="s">
        <v>1120</v>
      </c>
      <c r="C12" s="177">
        <v>100</v>
      </c>
      <c r="E12" s="177">
        <v>576</v>
      </c>
      <c r="G12" s="177">
        <v>424</v>
      </c>
      <c r="I12" s="177">
        <v>426</v>
      </c>
      <c r="K12" s="177">
        <v>188</v>
      </c>
    </row>
    <row r="14" spans="1:11">
      <c r="A14" s="183" t="s">
        <v>873</v>
      </c>
    </row>
    <row r="15" spans="1:11">
      <c r="A15" s="178" t="s">
        <v>1117</v>
      </c>
      <c r="D15" s="177">
        <v>2.35</v>
      </c>
      <c r="F15" s="177">
        <v>2.23</v>
      </c>
      <c r="H15" s="177">
        <v>2.16</v>
      </c>
      <c r="J15" s="177">
        <v>0.98</v>
      </c>
    </row>
    <row r="16" spans="1:11">
      <c r="A16" s="184" t="s">
        <v>1121</v>
      </c>
      <c r="D16" s="177">
        <v>0.48</v>
      </c>
      <c r="F16" s="177">
        <v>0.47</v>
      </c>
      <c r="H16" s="177">
        <v>0.44</v>
      </c>
      <c r="J16" s="177">
        <v>0.32</v>
      </c>
    </row>
    <row r="17" spans="1:11">
      <c r="A17" s="184" t="s">
        <v>1122</v>
      </c>
      <c r="B17" s="177">
        <v>0.34</v>
      </c>
      <c r="C17" s="177">
        <v>100</v>
      </c>
      <c r="D17" s="177">
        <v>0.83</v>
      </c>
      <c r="E17" s="177">
        <v>244</v>
      </c>
      <c r="F17" s="177">
        <v>0.75</v>
      </c>
      <c r="G17" s="177">
        <v>221</v>
      </c>
      <c r="H17" s="177">
        <v>0.75</v>
      </c>
      <c r="I17" s="177">
        <v>221</v>
      </c>
      <c r="J17" s="177">
        <v>0.36</v>
      </c>
      <c r="K17" s="177">
        <v>106</v>
      </c>
    </row>
    <row r="18" spans="1:11">
      <c r="A18" s="178" t="s">
        <v>1119</v>
      </c>
      <c r="B18" s="177">
        <v>0.31</v>
      </c>
      <c r="C18" s="177">
        <v>100</v>
      </c>
      <c r="D18" s="177">
        <v>1.04</v>
      </c>
      <c r="E18" s="177">
        <v>335</v>
      </c>
      <c r="F18" s="177">
        <v>1.01</v>
      </c>
      <c r="G18" s="177">
        <v>326</v>
      </c>
      <c r="H18" s="177">
        <v>0.97</v>
      </c>
      <c r="I18" s="177">
        <v>313</v>
      </c>
      <c r="J18" s="177">
        <v>0.31</v>
      </c>
      <c r="K18" s="177">
        <v>100</v>
      </c>
    </row>
    <row r="19" spans="1:11" ht="25.5">
      <c r="A19" s="184" t="s">
        <v>1123</v>
      </c>
      <c r="C19" s="177">
        <v>100</v>
      </c>
      <c r="E19" s="177">
        <v>290</v>
      </c>
      <c r="G19" s="177">
        <v>274</v>
      </c>
      <c r="I19" s="177">
        <v>267</v>
      </c>
      <c r="K19" s="177">
        <v>103</v>
      </c>
    </row>
    <row r="21" spans="1:11">
      <c r="A21" s="176" t="s">
        <v>1124</v>
      </c>
    </row>
    <row r="22" spans="1:11">
      <c r="A22" s="176" t="s">
        <v>1125</v>
      </c>
    </row>
    <row r="23" spans="1:11">
      <c r="B23" s="178" t="s">
        <v>1109</v>
      </c>
    </row>
    <row r="24" spans="1:11">
      <c r="B24" s="218" t="s">
        <v>1112</v>
      </c>
      <c r="C24" s="218" t="s">
        <v>1113</v>
      </c>
      <c r="D24" s="218" t="s">
        <v>1114</v>
      </c>
      <c r="E24" s="218" t="s">
        <v>1115</v>
      </c>
      <c r="F24" s="218" t="s">
        <v>934</v>
      </c>
      <c r="G24" s="218" t="s">
        <v>1116</v>
      </c>
      <c r="H24" s="218" t="s">
        <v>935</v>
      </c>
      <c r="I24" s="219">
        <v>0.15</v>
      </c>
    </row>
    <row r="25" spans="1:11">
      <c r="A25" s="183" t="s">
        <v>871</v>
      </c>
      <c r="B25" s="218" t="s">
        <v>1110</v>
      </c>
      <c r="C25" s="218" t="s">
        <v>1126</v>
      </c>
      <c r="D25" s="218" t="s">
        <v>1110</v>
      </c>
      <c r="E25" s="218" t="s">
        <v>1126</v>
      </c>
      <c r="F25" s="218" t="s">
        <v>1110</v>
      </c>
      <c r="G25" s="218" t="s">
        <v>1126</v>
      </c>
      <c r="H25" s="218" t="s">
        <v>1110</v>
      </c>
      <c r="I25" s="218" t="s">
        <v>1126</v>
      </c>
    </row>
    <row r="26" spans="1:11">
      <c r="A26" s="178" t="s">
        <v>1117</v>
      </c>
      <c r="B26" s="178">
        <v>2.2799999999999998</v>
      </c>
      <c r="C26" s="177">
        <v>0.82</v>
      </c>
      <c r="D26" s="177">
        <v>1.62</v>
      </c>
      <c r="E26" s="177">
        <v>0.72</v>
      </c>
      <c r="F26" s="177">
        <v>1.74</v>
      </c>
      <c r="G26" s="177">
        <v>0.49</v>
      </c>
      <c r="H26" s="177">
        <v>1.02</v>
      </c>
      <c r="I26" s="177">
        <v>0.28000000000000003</v>
      </c>
    </row>
    <row r="27" spans="1:11">
      <c r="A27" s="182" t="s">
        <v>1111</v>
      </c>
      <c r="B27" s="178">
        <v>100</v>
      </c>
      <c r="D27" s="177">
        <v>71</v>
      </c>
      <c r="F27" s="177">
        <v>76</v>
      </c>
      <c r="H27" s="177">
        <v>45</v>
      </c>
    </row>
    <row r="28" spans="1:11" ht="25.5">
      <c r="A28" s="184" t="s">
        <v>1118</v>
      </c>
      <c r="B28" s="177">
        <v>1.51</v>
      </c>
      <c r="C28" s="177">
        <v>0.52</v>
      </c>
      <c r="D28" s="177">
        <v>1.04</v>
      </c>
      <c r="E28" s="177">
        <v>0.38</v>
      </c>
      <c r="F28" s="177">
        <v>1.17</v>
      </c>
      <c r="G28" s="177">
        <v>0.33</v>
      </c>
      <c r="H28" s="177">
        <v>0.84</v>
      </c>
      <c r="I28" s="177">
        <v>0.21</v>
      </c>
    </row>
    <row r="29" spans="1:11">
      <c r="A29" s="182" t="s">
        <v>1111</v>
      </c>
      <c r="B29" s="177">
        <v>100</v>
      </c>
      <c r="D29" s="177">
        <v>69</v>
      </c>
      <c r="F29" s="177">
        <v>77</v>
      </c>
      <c r="H29" s="177">
        <v>56</v>
      </c>
    </row>
    <row r="30" spans="1:11">
      <c r="A30" s="178" t="s">
        <v>1119</v>
      </c>
      <c r="B30" s="177">
        <v>0.77</v>
      </c>
      <c r="C30" s="177">
        <v>0.32</v>
      </c>
      <c r="D30" s="177">
        <v>0.57999999999999996</v>
      </c>
      <c r="E30" s="177">
        <v>0.28999999999999998</v>
      </c>
      <c r="F30" s="177">
        <v>0.56000000000000005</v>
      </c>
      <c r="G30" s="177">
        <v>0.19</v>
      </c>
      <c r="H30" s="177">
        <v>0.19</v>
      </c>
      <c r="I30" s="177">
        <v>7.0000000000000007E-2</v>
      </c>
    </row>
    <row r="31" spans="1:11">
      <c r="A31" s="182" t="s">
        <v>1111</v>
      </c>
      <c r="B31" s="177">
        <v>100</v>
      </c>
      <c r="D31" s="177">
        <v>75</v>
      </c>
      <c r="F31" s="177">
        <v>73</v>
      </c>
      <c r="H31" s="177">
        <v>25</v>
      </c>
    </row>
    <row r="32" spans="1:11">
      <c r="A32" s="182"/>
    </row>
    <row r="33" spans="1:9">
      <c r="A33" s="183" t="s">
        <v>870</v>
      </c>
    </row>
    <row r="34" spans="1:9">
      <c r="A34" s="178" t="s">
        <v>1117</v>
      </c>
      <c r="B34" s="177">
        <v>2</v>
      </c>
      <c r="C34" s="177">
        <v>0.65</v>
      </c>
      <c r="D34" s="177">
        <v>1.74</v>
      </c>
      <c r="E34" s="177">
        <v>0.13</v>
      </c>
      <c r="F34" s="177">
        <v>1.39</v>
      </c>
      <c r="G34" s="177">
        <v>0.49</v>
      </c>
      <c r="H34" s="177">
        <v>1.03</v>
      </c>
      <c r="I34" s="177">
        <v>0.32</v>
      </c>
    </row>
    <row r="35" spans="1:9">
      <c r="A35" s="182" t="s">
        <v>1111</v>
      </c>
      <c r="B35" s="177">
        <v>100</v>
      </c>
      <c r="D35" s="177">
        <v>87</v>
      </c>
      <c r="F35" s="177">
        <v>70</v>
      </c>
      <c r="H35" s="177">
        <v>52</v>
      </c>
    </row>
    <row r="36" spans="1:9" ht="25.5">
      <c r="A36" s="184" t="s">
        <v>1118</v>
      </c>
      <c r="B36" s="177">
        <v>1</v>
      </c>
      <c r="C36" s="177">
        <v>0.35</v>
      </c>
      <c r="D36" s="177">
        <v>0.85</v>
      </c>
      <c r="E36" s="177">
        <v>0.36</v>
      </c>
      <c r="F36" s="177">
        <v>0.7</v>
      </c>
      <c r="G36" s="177">
        <v>0.25</v>
      </c>
      <c r="H36" s="177">
        <v>0.65</v>
      </c>
      <c r="I36" s="177">
        <v>0.21</v>
      </c>
    </row>
    <row r="37" spans="1:9">
      <c r="A37" s="182" t="s">
        <v>1111</v>
      </c>
      <c r="B37" s="177">
        <v>100</v>
      </c>
      <c r="D37" s="177">
        <v>85</v>
      </c>
      <c r="F37" s="177">
        <v>70</v>
      </c>
      <c r="H37" s="177">
        <v>65</v>
      </c>
    </row>
    <row r="38" spans="1:9">
      <c r="A38" s="178" t="s">
        <v>1119</v>
      </c>
      <c r="B38" s="177">
        <v>1</v>
      </c>
      <c r="C38" s="177">
        <v>0.4</v>
      </c>
      <c r="D38" s="177">
        <v>0.89</v>
      </c>
      <c r="E38" s="177">
        <v>0.27</v>
      </c>
      <c r="F38" s="177">
        <v>0.69</v>
      </c>
      <c r="G38" s="177">
        <v>0.23</v>
      </c>
      <c r="H38" s="177">
        <v>0.38</v>
      </c>
      <c r="I38" s="177">
        <v>0.14000000000000001</v>
      </c>
    </row>
    <row r="39" spans="1:9">
      <c r="A39" s="182" t="s">
        <v>1111</v>
      </c>
      <c r="B39" s="177">
        <v>100</v>
      </c>
      <c r="D39" s="177">
        <v>89</v>
      </c>
      <c r="F39" s="177">
        <v>69</v>
      </c>
      <c r="H39" s="177">
        <v>38</v>
      </c>
    </row>
    <row r="41" spans="1:9">
      <c r="A41" s="183" t="s">
        <v>873</v>
      </c>
    </row>
    <row r="42" spans="1:9">
      <c r="A42" s="178" t="s">
        <v>1117</v>
      </c>
      <c r="B42" s="177">
        <v>2.35</v>
      </c>
      <c r="C42" s="177">
        <v>1.17</v>
      </c>
      <c r="D42" s="177">
        <v>2.23</v>
      </c>
      <c r="E42" s="177">
        <v>1.2</v>
      </c>
      <c r="F42" s="177">
        <v>2.16</v>
      </c>
      <c r="G42" s="177">
        <v>1.1599999999999999</v>
      </c>
      <c r="H42" s="177">
        <v>0.98</v>
      </c>
      <c r="I42" s="177">
        <v>0.38</v>
      </c>
    </row>
    <row r="43" spans="1:9">
      <c r="A43" s="182" t="s">
        <v>1111</v>
      </c>
      <c r="B43" s="177">
        <v>100</v>
      </c>
      <c r="D43" s="177">
        <v>95</v>
      </c>
      <c r="F43" s="177">
        <v>92</v>
      </c>
      <c r="H43" s="177">
        <v>42</v>
      </c>
    </row>
    <row r="44" spans="1:9">
      <c r="A44" s="184" t="s">
        <v>1121</v>
      </c>
      <c r="B44" s="177">
        <v>0.48</v>
      </c>
      <c r="C44" s="177">
        <v>0.25</v>
      </c>
      <c r="D44" s="177">
        <v>0.47</v>
      </c>
      <c r="E44" s="177">
        <v>0.18</v>
      </c>
      <c r="F44" s="177">
        <v>0.44</v>
      </c>
      <c r="G44" s="177">
        <v>0.21</v>
      </c>
      <c r="H44" s="177">
        <v>0.32</v>
      </c>
      <c r="I44" s="177">
        <v>0.13</v>
      </c>
    </row>
    <row r="45" spans="1:9">
      <c r="A45" s="182" t="s">
        <v>1111</v>
      </c>
      <c r="B45" s="177">
        <v>100</v>
      </c>
      <c r="D45" s="177">
        <v>98</v>
      </c>
      <c r="F45" s="177">
        <v>92</v>
      </c>
      <c r="H45" s="177">
        <v>67</v>
      </c>
    </row>
    <row r="46" spans="1:9">
      <c r="A46" s="184" t="s">
        <v>1122</v>
      </c>
      <c r="B46" s="177">
        <v>0.83</v>
      </c>
      <c r="C46" s="177">
        <v>0.42</v>
      </c>
      <c r="D46" s="177">
        <v>0.75</v>
      </c>
      <c r="E46" s="177">
        <v>0.42</v>
      </c>
      <c r="F46" s="177">
        <v>0.75</v>
      </c>
      <c r="G46" s="177">
        <v>0.46</v>
      </c>
      <c r="H46" s="177">
        <v>0.36</v>
      </c>
      <c r="I46" s="177">
        <v>0.18</v>
      </c>
    </row>
    <row r="47" spans="1:9">
      <c r="A47" s="182" t="s">
        <v>1111</v>
      </c>
      <c r="B47" s="177">
        <v>100</v>
      </c>
      <c r="D47" s="177">
        <v>90</v>
      </c>
      <c r="F47" s="177">
        <v>90</v>
      </c>
      <c r="H47" s="177">
        <v>43</v>
      </c>
    </row>
    <row r="48" spans="1:9">
      <c r="A48" s="178" t="s">
        <v>1119</v>
      </c>
      <c r="B48" s="177">
        <v>1.04</v>
      </c>
      <c r="C48" s="177">
        <v>0.65</v>
      </c>
      <c r="D48" s="177">
        <v>1.01</v>
      </c>
      <c r="E48" s="177">
        <v>0.72</v>
      </c>
      <c r="F48" s="177">
        <v>0.97</v>
      </c>
      <c r="G48" s="177">
        <v>0.61</v>
      </c>
      <c r="H48" s="177">
        <v>0.31</v>
      </c>
      <c r="I48" s="177">
        <v>0.14000000000000001</v>
      </c>
    </row>
    <row r="49" spans="1:8">
      <c r="A49" s="182" t="s">
        <v>1111</v>
      </c>
      <c r="B49" s="177">
        <v>100</v>
      </c>
      <c r="D49" s="177">
        <v>97</v>
      </c>
      <c r="F49" s="177">
        <v>93</v>
      </c>
      <c r="H49" s="177">
        <v>30</v>
      </c>
    </row>
    <row r="51" spans="1:8">
      <c r="A51" s="176" t="s">
        <v>1127</v>
      </c>
    </row>
    <row r="52" spans="1:8">
      <c r="A52" s="176" t="s">
        <v>1128</v>
      </c>
    </row>
    <row r="53" spans="1:8">
      <c r="A53" s="176" t="s">
        <v>1129</v>
      </c>
    </row>
    <row r="54" spans="1:8">
      <c r="B54" s="178" t="s">
        <v>1109</v>
      </c>
    </row>
    <row r="55" spans="1:8">
      <c r="B55" s="218" t="s">
        <v>1112</v>
      </c>
      <c r="C55" s="218" t="s">
        <v>1114</v>
      </c>
      <c r="D55" s="218" t="s">
        <v>934</v>
      </c>
      <c r="E55" s="218" t="s">
        <v>935</v>
      </c>
    </row>
    <row r="56" spans="1:8">
      <c r="B56" s="218" t="s">
        <v>1113</v>
      </c>
      <c r="C56" s="218" t="s">
        <v>1115</v>
      </c>
      <c r="D56" s="218" t="s">
        <v>1116</v>
      </c>
      <c r="E56" s="219">
        <v>0.15</v>
      </c>
    </row>
    <row r="57" spans="1:8">
      <c r="A57" s="183" t="s">
        <v>871</v>
      </c>
      <c r="B57" s="218"/>
      <c r="C57" s="218"/>
      <c r="D57" s="218"/>
      <c r="E57" s="219"/>
    </row>
    <row r="58" spans="1:8">
      <c r="A58" s="178" t="s">
        <v>1117</v>
      </c>
      <c r="B58" s="178">
        <v>100</v>
      </c>
      <c r="C58" s="178">
        <v>100</v>
      </c>
      <c r="D58" s="178">
        <v>100</v>
      </c>
      <c r="E58" s="178">
        <v>100</v>
      </c>
    </row>
    <row r="59" spans="1:8" ht="25.5">
      <c r="A59" s="184" t="s">
        <v>1118</v>
      </c>
      <c r="B59" s="177">
        <v>66.23</v>
      </c>
      <c r="C59" s="177">
        <v>64.2</v>
      </c>
      <c r="D59" s="177">
        <v>67.63</v>
      </c>
      <c r="E59" s="177">
        <v>81.55</v>
      </c>
    </row>
    <row r="60" spans="1:8">
      <c r="A60" s="178" t="s">
        <v>1119</v>
      </c>
      <c r="B60" s="177">
        <v>33.770000000000003</v>
      </c>
      <c r="C60" s="177">
        <v>35.799999999999997</v>
      </c>
      <c r="D60" s="177">
        <v>32.369999999999997</v>
      </c>
      <c r="E60" s="177">
        <v>18.45</v>
      </c>
    </row>
    <row r="61" spans="1:8">
      <c r="A61" s="178" t="s">
        <v>1130</v>
      </c>
      <c r="B61" s="177">
        <v>0.51</v>
      </c>
      <c r="C61" s="177">
        <v>0.56000000000000005</v>
      </c>
      <c r="D61" s="177">
        <v>0.48</v>
      </c>
      <c r="E61" s="177">
        <v>0.23</v>
      </c>
    </row>
    <row r="62" spans="1:8" ht="38.25">
      <c r="A62" s="184" t="s">
        <v>1131</v>
      </c>
      <c r="B62" s="177">
        <v>100</v>
      </c>
      <c r="C62" s="177">
        <v>110</v>
      </c>
      <c r="D62" s="177">
        <v>94</v>
      </c>
      <c r="E62" s="177">
        <v>45</v>
      </c>
    </row>
    <row r="64" spans="1:8">
      <c r="A64" s="183" t="s">
        <v>873</v>
      </c>
    </row>
    <row r="65" spans="1:6">
      <c r="A65" s="178" t="s">
        <v>1117</v>
      </c>
      <c r="B65" s="177">
        <v>100</v>
      </c>
      <c r="C65" s="177">
        <v>100</v>
      </c>
      <c r="D65" s="177">
        <v>100</v>
      </c>
      <c r="E65" s="177">
        <v>100</v>
      </c>
    </row>
    <row r="66" spans="1:6">
      <c r="A66" s="184" t="s">
        <v>1121</v>
      </c>
      <c r="B66" s="177">
        <v>20.43</v>
      </c>
      <c r="C66" s="177">
        <v>21.08</v>
      </c>
      <c r="D66" s="177">
        <v>20.37</v>
      </c>
      <c r="E66" s="177">
        <v>32.32</v>
      </c>
    </row>
    <row r="67" spans="1:6">
      <c r="A67" s="184" t="s">
        <v>1122</v>
      </c>
      <c r="B67" s="177">
        <v>35.32</v>
      </c>
      <c r="C67" s="177">
        <v>33.630000000000003</v>
      </c>
      <c r="D67" s="177">
        <v>34.72</v>
      </c>
      <c r="E67" s="177">
        <v>36.36</v>
      </c>
    </row>
    <row r="68" spans="1:6">
      <c r="A68" s="178" t="s">
        <v>1119</v>
      </c>
      <c r="B68" s="177">
        <v>44.26</v>
      </c>
      <c r="C68" s="177">
        <v>45.29</v>
      </c>
      <c r="D68" s="177">
        <v>44.91</v>
      </c>
      <c r="E68" s="177">
        <v>31.31</v>
      </c>
    </row>
    <row r="69" spans="1:6">
      <c r="A69" s="178" t="s">
        <v>1130</v>
      </c>
      <c r="B69" s="177">
        <v>0.79</v>
      </c>
      <c r="C69" s="177">
        <v>0.83</v>
      </c>
      <c r="D69" s="177">
        <v>0.82</v>
      </c>
      <c r="E69" s="177">
        <v>0.45</v>
      </c>
    </row>
    <row r="70" spans="1:6" ht="38.25">
      <c r="A70" s="184" t="s">
        <v>1131</v>
      </c>
      <c r="B70" s="177">
        <v>100</v>
      </c>
      <c r="C70" s="177">
        <v>105</v>
      </c>
      <c r="D70" s="177">
        <v>104</v>
      </c>
      <c r="E70" s="177">
        <v>57</v>
      </c>
    </row>
    <row r="72" spans="1:6">
      <c r="A72" s="176" t="s">
        <v>1132</v>
      </c>
    </row>
    <row r="73" spans="1:6">
      <c r="A73" s="176" t="s">
        <v>1133</v>
      </c>
    </row>
    <row r="74" spans="1:6">
      <c r="C74" s="178" t="s">
        <v>1109</v>
      </c>
    </row>
    <row r="75" spans="1:6">
      <c r="C75" s="218" t="s">
        <v>1112</v>
      </c>
      <c r="D75" s="218" t="s">
        <v>1114</v>
      </c>
      <c r="E75" s="218" t="s">
        <v>934</v>
      </c>
      <c r="F75" s="218" t="s">
        <v>935</v>
      </c>
    </row>
    <row r="76" spans="1:6">
      <c r="C76" s="218" t="s">
        <v>1113</v>
      </c>
      <c r="D76" s="218" t="s">
        <v>1115</v>
      </c>
      <c r="E76" s="218" t="s">
        <v>1116</v>
      </c>
      <c r="F76" s="219">
        <v>0.15</v>
      </c>
    </row>
    <row r="77" spans="1:6">
      <c r="A77" s="183" t="s">
        <v>871</v>
      </c>
    </row>
    <row r="78" spans="1:6">
      <c r="A78" s="178" t="s">
        <v>1134</v>
      </c>
      <c r="B78" s="178" t="s">
        <v>1135</v>
      </c>
      <c r="C78" s="177">
        <v>0.91</v>
      </c>
      <c r="D78" s="177">
        <v>0.97</v>
      </c>
      <c r="E78" s="177">
        <v>1.2</v>
      </c>
      <c r="F78" s="177">
        <v>1.43</v>
      </c>
    </row>
    <row r="79" spans="1:6">
      <c r="A79" s="178" t="s">
        <v>1136</v>
      </c>
      <c r="B79" s="178" t="s">
        <v>1137</v>
      </c>
      <c r="C79" s="177">
        <v>1.37E-2</v>
      </c>
      <c r="D79" s="177">
        <v>1.01E-2</v>
      </c>
      <c r="E79" s="177">
        <v>1.4E-2</v>
      </c>
      <c r="F79" s="177">
        <v>1.2E-2</v>
      </c>
    </row>
    <row r="80" spans="1:6">
      <c r="A80" s="178" t="s">
        <v>1138</v>
      </c>
      <c r="B80" s="178" t="s">
        <v>1135</v>
      </c>
      <c r="C80" s="177">
        <v>0.84</v>
      </c>
      <c r="D80" s="177">
        <v>0.84</v>
      </c>
      <c r="E80" s="177">
        <v>0.89</v>
      </c>
      <c r="F80" s="177">
        <v>1.33</v>
      </c>
    </row>
    <row r="81" spans="1:6">
      <c r="A81" s="178" t="s">
        <v>1136</v>
      </c>
      <c r="B81" s="178" t="s">
        <v>1137</v>
      </c>
      <c r="C81" s="177">
        <v>6.4999999999999997E-3</v>
      </c>
      <c r="D81" s="177">
        <v>4.8999999999999998E-3</v>
      </c>
      <c r="E81" s="177">
        <v>5.0000000000000001E-3</v>
      </c>
      <c r="F81" s="177">
        <v>2.5000000000000001E-3</v>
      </c>
    </row>
    <row r="83" spans="1:6">
      <c r="A83" s="183" t="s">
        <v>873</v>
      </c>
    </row>
    <row r="84" spans="1:6">
      <c r="A84" s="178" t="s">
        <v>1139</v>
      </c>
      <c r="B84" s="178" t="s">
        <v>1135</v>
      </c>
      <c r="C84" s="177">
        <v>1.51</v>
      </c>
      <c r="D84" s="177">
        <v>1.4</v>
      </c>
      <c r="E84" s="177">
        <v>1.36</v>
      </c>
      <c r="F84" s="177">
        <v>1.86</v>
      </c>
    </row>
    <row r="85" spans="1:6">
      <c r="A85" s="178" t="s">
        <v>1136</v>
      </c>
      <c r="B85" s="178" t="s">
        <v>1137</v>
      </c>
      <c r="C85" s="177">
        <v>7.1999999999999998E-3</v>
      </c>
      <c r="D85" s="177">
        <v>6.6E-3</v>
      </c>
      <c r="E85" s="177">
        <v>6.0000000000000001E-3</v>
      </c>
      <c r="F85" s="177">
        <v>6.0000000000000001E-3</v>
      </c>
    </row>
    <row r="86" spans="1:6">
      <c r="A86" s="178" t="s">
        <v>1140</v>
      </c>
      <c r="B86" s="178" t="s">
        <v>1135</v>
      </c>
      <c r="C86" s="177">
        <v>0.83</v>
      </c>
      <c r="D86" s="177">
        <v>0.82</v>
      </c>
      <c r="E86" s="177">
        <v>0.88</v>
      </c>
      <c r="F86" s="177">
        <v>0.75</v>
      </c>
    </row>
    <row r="87" spans="1:6">
      <c r="A87" s="178" t="s">
        <v>1136</v>
      </c>
      <c r="B87" s="178" t="s">
        <v>1137</v>
      </c>
      <c r="C87" s="177">
        <v>6.8999999999999999E-3</v>
      </c>
      <c r="D87" s="177">
        <v>6.1999999999999998E-3</v>
      </c>
      <c r="E87" s="177">
        <v>6.6E-3</v>
      </c>
      <c r="F87" s="177">
        <v>2.7000000000000001E-3</v>
      </c>
    </row>
    <row r="88" spans="1:6">
      <c r="A88" s="178" t="s">
        <v>1138</v>
      </c>
      <c r="B88" s="178" t="s">
        <v>1135</v>
      </c>
      <c r="C88" s="177">
        <v>1.01</v>
      </c>
      <c r="D88" s="177">
        <v>1.01</v>
      </c>
      <c r="E88" s="177">
        <v>1.1499999999999999</v>
      </c>
      <c r="F88" s="177">
        <v>1.08</v>
      </c>
    </row>
    <row r="89" spans="1:6">
      <c r="A89" s="178" t="s">
        <v>1136</v>
      </c>
      <c r="B89" s="178" t="s">
        <v>1137</v>
      </c>
      <c r="C89" s="177">
        <v>1.0500000000000001E-2</v>
      </c>
      <c r="D89" s="177">
        <v>1.0200000000000001E-2</v>
      </c>
      <c r="E89" s="177">
        <v>1.12E-2</v>
      </c>
      <c r="F89" s="177">
        <v>3.3E-3</v>
      </c>
    </row>
    <row r="92" spans="1:6">
      <c r="A92" s="178" t="s">
        <v>1141</v>
      </c>
    </row>
    <row r="94" spans="1:6">
      <c r="A94" s="178" t="s">
        <v>142</v>
      </c>
    </row>
    <row r="95" spans="1:6">
      <c r="A95" s="178" t="s">
        <v>1142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2:L139"/>
  <sheetViews>
    <sheetView workbookViewId="0">
      <selection activeCell="E47" sqref="E46:E47"/>
    </sheetView>
  </sheetViews>
  <sheetFormatPr baseColWidth="10" defaultRowHeight="12.75"/>
  <cols>
    <col min="1" max="1" width="12.5703125" style="177" customWidth="1"/>
    <col min="2" max="2" width="23.85546875" style="177" bestFit="1" customWidth="1"/>
    <col min="3" max="3" width="6" style="177" bestFit="1" customWidth="1"/>
    <col min="4" max="4" width="8.5703125" style="177" bestFit="1" customWidth="1"/>
    <col min="5" max="5" width="6" style="177" bestFit="1" customWidth="1"/>
    <col min="6" max="6" width="6.5703125" style="177" bestFit="1" customWidth="1"/>
    <col min="7" max="7" width="6" style="177" bestFit="1" customWidth="1"/>
    <col min="8" max="8" width="6.5703125" style="177" bestFit="1" customWidth="1"/>
    <col min="9" max="9" width="6" style="177" bestFit="1" customWidth="1"/>
    <col min="10" max="10" width="6.140625" style="177" customWidth="1"/>
    <col min="11" max="11" width="6.28515625" style="177" customWidth="1"/>
    <col min="12" max="12" width="6.42578125" style="177" customWidth="1"/>
    <col min="13" max="16384" width="11.42578125" style="177"/>
  </cols>
  <sheetData>
    <row r="2" spans="1:12">
      <c r="A2" s="176" t="s">
        <v>1143</v>
      </c>
    </row>
    <row r="3" spans="1:12">
      <c r="A3" s="176" t="s">
        <v>1227</v>
      </c>
    </row>
    <row r="4" spans="1:12">
      <c r="A4" s="178" t="s">
        <v>1144</v>
      </c>
    </row>
    <row r="5" spans="1:12">
      <c r="B5" s="178" t="s">
        <v>1109</v>
      </c>
      <c r="C5" s="220">
        <v>0</v>
      </c>
      <c r="D5" s="221"/>
      <c r="E5" s="218" t="s">
        <v>1112</v>
      </c>
      <c r="F5" s="221"/>
      <c r="G5" s="218" t="s">
        <v>1114</v>
      </c>
      <c r="H5" s="221"/>
      <c r="I5" s="218" t="s">
        <v>934</v>
      </c>
      <c r="J5" s="221"/>
      <c r="K5" s="218" t="s">
        <v>935</v>
      </c>
      <c r="L5" s="221"/>
    </row>
    <row r="6" spans="1:12">
      <c r="A6" s="178" t="s">
        <v>1145</v>
      </c>
      <c r="B6" s="178" t="s">
        <v>1146</v>
      </c>
      <c r="C6" s="219">
        <v>1</v>
      </c>
      <c r="D6" s="222" t="s">
        <v>1126</v>
      </c>
      <c r="E6" s="219">
        <v>0.68</v>
      </c>
      <c r="F6" s="222"/>
      <c r="G6" s="219">
        <v>0.35</v>
      </c>
      <c r="H6" s="222"/>
      <c r="I6" s="219">
        <v>0.12</v>
      </c>
      <c r="J6" s="222"/>
      <c r="K6" s="219">
        <v>0.01</v>
      </c>
      <c r="L6" s="222"/>
    </row>
    <row r="7" spans="1:12">
      <c r="D7" s="223"/>
      <c r="F7" s="223"/>
      <c r="H7" s="223"/>
      <c r="J7" s="223"/>
      <c r="L7" s="223"/>
    </row>
    <row r="8" spans="1:12">
      <c r="A8" s="224" t="s">
        <v>871</v>
      </c>
      <c r="B8" s="224" t="s">
        <v>1147</v>
      </c>
      <c r="C8" s="186">
        <v>11.71</v>
      </c>
      <c r="D8" s="225">
        <v>3.2</v>
      </c>
      <c r="E8" s="186">
        <v>12.28</v>
      </c>
      <c r="F8" s="225">
        <v>3.12</v>
      </c>
      <c r="G8" s="186">
        <v>11.59</v>
      </c>
      <c r="H8" s="225">
        <v>2.85</v>
      </c>
      <c r="I8" s="186">
        <v>13.05</v>
      </c>
      <c r="J8" s="225">
        <v>2.91</v>
      </c>
      <c r="K8" s="224" t="s">
        <v>1148</v>
      </c>
      <c r="L8" s="225"/>
    </row>
    <row r="9" spans="1:12">
      <c r="B9" s="178" t="s">
        <v>1111</v>
      </c>
      <c r="C9" s="177">
        <v>100</v>
      </c>
      <c r="D9" s="223"/>
      <c r="E9" s="177">
        <v>105</v>
      </c>
      <c r="F9" s="223"/>
      <c r="G9" s="177">
        <v>99</v>
      </c>
      <c r="H9" s="223"/>
      <c r="I9" s="177">
        <v>111</v>
      </c>
      <c r="J9" s="223"/>
      <c r="K9" s="178"/>
      <c r="L9" s="223"/>
    </row>
    <row r="10" spans="1:12">
      <c r="A10" s="178" t="s">
        <v>1149</v>
      </c>
      <c r="B10" s="178" t="s">
        <v>1150</v>
      </c>
      <c r="D10" s="223"/>
      <c r="E10" s="177">
        <v>0</v>
      </c>
      <c r="F10" s="223"/>
      <c r="G10" s="177">
        <v>0</v>
      </c>
      <c r="H10" s="223"/>
      <c r="I10" s="177">
        <v>0</v>
      </c>
      <c r="J10" s="223"/>
      <c r="K10" s="178"/>
      <c r="L10" s="223"/>
    </row>
    <row r="11" spans="1:12">
      <c r="A11" s="178" t="s">
        <v>1151</v>
      </c>
      <c r="B11" s="178" t="s">
        <v>1152</v>
      </c>
      <c r="C11" s="177">
        <v>0.51</v>
      </c>
      <c r="D11" s="223">
        <v>0.28000000000000003</v>
      </c>
      <c r="E11" s="177">
        <v>0.6</v>
      </c>
      <c r="F11" s="223">
        <v>0.37</v>
      </c>
      <c r="G11" s="177">
        <v>0.46</v>
      </c>
      <c r="H11" s="223">
        <v>0.28999999999999998</v>
      </c>
      <c r="I11" s="177">
        <v>0.34</v>
      </c>
      <c r="J11" s="223">
        <v>0.15</v>
      </c>
      <c r="K11" s="178" t="s">
        <v>1148</v>
      </c>
      <c r="L11" s="223"/>
    </row>
    <row r="12" spans="1:12">
      <c r="A12" s="178" t="s">
        <v>1153</v>
      </c>
      <c r="B12" s="178" t="s">
        <v>1111</v>
      </c>
      <c r="C12" s="177">
        <v>100</v>
      </c>
      <c r="D12" s="223"/>
      <c r="E12" s="177">
        <v>120</v>
      </c>
      <c r="F12" s="223"/>
      <c r="G12" s="177">
        <v>90</v>
      </c>
      <c r="H12" s="223"/>
      <c r="I12" s="177">
        <v>67</v>
      </c>
      <c r="J12" s="223"/>
      <c r="K12" s="178"/>
      <c r="L12" s="223"/>
    </row>
    <row r="13" spans="1:12">
      <c r="B13" s="178" t="s">
        <v>1150</v>
      </c>
      <c r="D13" s="223"/>
      <c r="E13" s="177">
        <v>0</v>
      </c>
      <c r="F13" s="223"/>
      <c r="G13" s="177">
        <v>0</v>
      </c>
      <c r="H13" s="223"/>
      <c r="I13" s="226" t="s">
        <v>1154</v>
      </c>
      <c r="J13" s="223"/>
      <c r="K13" s="178"/>
      <c r="L13" s="223"/>
    </row>
    <row r="14" spans="1:12">
      <c r="B14" s="178" t="s">
        <v>1155</v>
      </c>
      <c r="C14" s="177">
        <v>0.69</v>
      </c>
      <c r="D14" s="223">
        <v>0.28999999999999998</v>
      </c>
      <c r="E14" s="177">
        <v>0.84</v>
      </c>
      <c r="F14" s="223">
        <v>0.34</v>
      </c>
      <c r="G14" s="177">
        <v>0.6</v>
      </c>
      <c r="H14" s="223">
        <v>0.34</v>
      </c>
      <c r="I14" s="177">
        <v>0.3</v>
      </c>
      <c r="J14" s="223">
        <v>0.11</v>
      </c>
      <c r="K14" s="178" t="s">
        <v>1148</v>
      </c>
      <c r="L14" s="223"/>
    </row>
    <row r="15" spans="1:12">
      <c r="B15" s="178" t="s">
        <v>1111</v>
      </c>
      <c r="C15" s="177">
        <v>100</v>
      </c>
      <c r="D15" s="223"/>
      <c r="E15" s="177">
        <v>125</v>
      </c>
      <c r="F15" s="223"/>
      <c r="G15" s="177">
        <v>87</v>
      </c>
      <c r="H15" s="223"/>
      <c r="I15" s="177">
        <v>43</v>
      </c>
      <c r="J15" s="223"/>
      <c r="K15" s="178"/>
      <c r="L15" s="223"/>
    </row>
    <row r="16" spans="1:12">
      <c r="B16" s="178" t="s">
        <v>1150</v>
      </c>
      <c r="D16" s="223"/>
      <c r="E16" s="178" t="s">
        <v>1156</v>
      </c>
      <c r="F16" s="223"/>
      <c r="G16" s="177">
        <v>0</v>
      </c>
      <c r="H16" s="223"/>
      <c r="I16" s="226" t="s">
        <v>1157</v>
      </c>
      <c r="J16" s="223"/>
      <c r="K16" s="178"/>
      <c r="L16" s="223"/>
    </row>
    <row r="17" spans="1:12">
      <c r="B17" s="178" t="s">
        <v>1158</v>
      </c>
      <c r="C17" s="177">
        <v>0.97</v>
      </c>
      <c r="D17" s="223">
        <v>0.46</v>
      </c>
      <c r="E17" s="177">
        <v>1.22</v>
      </c>
      <c r="F17" s="223">
        <v>0.66</v>
      </c>
      <c r="G17" s="177">
        <v>0.99</v>
      </c>
      <c r="H17" s="223">
        <v>0.48</v>
      </c>
      <c r="I17" s="177">
        <v>0.72</v>
      </c>
      <c r="J17" s="223">
        <v>0.31</v>
      </c>
      <c r="K17" s="178" t="s">
        <v>1148</v>
      </c>
      <c r="L17" s="223"/>
    </row>
    <row r="18" spans="1:12">
      <c r="B18" s="178" t="s">
        <v>1111</v>
      </c>
      <c r="C18" s="177">
        <v>100</v>
      </c>
      <c r="D18" s="223"/>
      <c r="E18" s="177">
        <v>127</v>
      </c>
      <c r="F18" s="223"/>
      <c r="G18" s="177">
        <v>102</v>
      </c>
      <c r="H18" s="223"/>
      <c r="I18" s="177">
        <v>74</v>
      </c>
      <c r="J18" s="223"/>
      <c r="K18" s="178"/>
      <c r="L18" s="223"/>
    </row>
    <row r="19" spans="1:12">
      <c r="B19" s="178" t="s">
        <v>1150</v>
      </c>
      <c r="D19" s="223"/>
      <c r="E19" s="177">
        <v>0</v>
      </c>
      <c r="F19" s="223"/>
      <c r="G19" s="177">
        <v>0</v>
      </c>
      <c r="H19" s="223"/>
      <c r="I19" s="178" t="s">
        <v>1156</v>
      </c>
      <c r="J19" s="223"/>
      <c r="K19" s="178"/>
      <c r="L19" s="223"/>
    </row>
    <row r="20" spans="1:12">
      <c r="B20" s="178" t="s">
        <v>1159</v>
      </c>
      <c r="C20" s="177">
        <v>2.17</v>
      </c>
      <c r="D20" s="223">
        <v>0.92</v>
      </c>
      <c r="E20" s="177">
        <v>2.66</v>
      </c>
      <c r="F20" s="223">
        <v>1.35</v>
      </c>
      <c r="G20" s="177">
        <v>2.0499999999999998</v>
      </c>
      <c r="H20" s="223">
        <v>0.99</v>
      </c>
      <c r="I20" s="177">
        <v>1.36</v>
      </c>
      <c r="J20" s="223">
        <v>0.54</v>
      </c>
      <c r="K20" s="178" t="s">
        <v>1148</v>
      </c>
      <c r="L20" s="223"/>
    </row>
    <row r="21" spans="1:12">
      <c r="B21" s="178" t="s">
        <v>1111</v>
      </c>
      <c r="C21" s="177">
        <v>100</v>
      </c>
      <c r="D21" s="223"/>
      <c r="E21" s="177">
        <v>123</v>
      </c>
      <c r="F21" s="223"/>
      <c r="G21" s="177">
        <v>94</v>
      </c>
      <c r="H21" s="223"/>
      <c r="I21" s="177">
        <v>62</v>
      </c>
      <c r="J21" s="223"/>
      <c r="K21" s="178"/>
      <c r="L21" s="223"/>
    </row>
    <row r="22" spans="1:12">
      <c r="B22" s="178" t="s">
        <v>1150</v>
      </c>
      <c r="D22" s="223"/>
      <c r="E22" s="177">
        <v>0</v>
      </c>
      <c r="F22" s="223"/>
      <c r="G22" s="177">
        <v>0</v>
      </c>
      <c r="H22" s="223"/>
      <c r="I22" s="226" t="s">
        <v>1157</v>
      </c>
      <c r="J22" s="223"/>
      <c r="K22" s="178"/>
      <c r="L22" s="223"/>
    </row>
    <row r="23" spans="1:12">
      <c r="A23" s="227"/>
      <c r="B23" s="228" t="s">
        <v>1160</v>
      </c>
      <c r="C23" s="227">
        <v>29</v>
      </c>
      <c r="D23" s="229"/>
      <c r="E23" s="227">
        <v>34</v>
      </c>
      <c r="F23" s="229"/>
      <c r="G23" s="227">
        <v>33</v>
      </c>
      <c r="H23" s="229"/>
      <c r="I23" s="227">
        <v>32</v>
      </c>
      <c r="J23" s="229"/>
      <c r="K23" s="228"/>
      <c r="L23" s="229"/>
    </row>
    <row r="24" spans="1:12">
      <c r="A24" s="224" t="s">
        <v>1161</v>
      </c>
      <c r="B24" s="224" t="s">
        <v>1147</v>
      </c>
      <c r="C24" s="186">
        <v>43.71</v>
      </c>
      <c r="D24" s="225">
        <v>13.06</v>
      </c>
      <c r="E24" s="224" t="s">
        <v>125</v>
      </c>
      <c r="F24" s="225"/>
      <c r="G24" s="186">
        <v>45.82</v>
      </c>
      <c r="H24" s="225">
        <v>11.02</v>
      </c>
      <c r="I24" s="186">
        <v>48.96</v>
      </c>
      <c r="J24" s="225">
        <v>8.41</v>
      </c>
      <c r="K24" s="224" t="s">
        <v>1148</v>
      </c>
      <c r="L24" s="225"/>
    </row>
    <row r="25" spans="1:12">
      <c r="B25" s="178" t="s">
        <v>1111</v>
      </c>
      <c r="C25" s="177">
        <v>100</v>
      </c>
      <c r="D25" s="223"/>
      <c r="E25" s="178" t="s">
        <v>125</v>
      </c>
      <c r="F25" s="223"/>
      <c r="G25" s="177">
        <v>105</v>
      </c>
      <c r="H25" s="223"/>
      <c r="I25" s="177">
        <v>112</v>
      </c>
      <c r="J25" s="223"/>
      <c r="K25" s="178"/>
      <c r="L25" s="223"/>
    </row>
    <row r="26" spans="1:12">
      <c r="A26" s="178" t="s">
        <v>1162</v>
      </c>
      <c r="B26" s="178" t="s">
        <v>1150</v>
      </c>
      <c r="D26" s="223"/>
      <c r="F26" s="223"/>
      <c r="G26" s="177">
        <v>0</v>
      </c>
      <c r="H26" s="223"/>
      <c r="I26" s="177">
        <v>0</v>
      </c>
      <c r="J26" s="223"/>
      <c r="K26" s="178"/>
      <c r="L26" s="223"/>
    </row>
    <row r="27" spans="1:12">
      <c r="A27" s="178" t="s">
        <v>1163</v>
      </c>
      <c r="B27" s="178" t="s">
        <v>1164</v>
      </c>
      <c r="C27" s="177">
        <v>5.88</v>
      </c>
      <c r="D27" s="223">
        <v>2.48</v>
      </c>
      <c r="E27" s="178" t="s">
        <v>125</v>
      </c>
      <c r="F27" s="223"/>
      <c r="G27" s="177">
        <v>9.75</v>
      </c>
      <c r="H27" s="223">
        <v>7.38</v>
      </c>
      <c r="I27" s="177">
        <v>12.39</v>
      </c>
      <c r="J27" s="223">
        <v>3.25</v>
      </c>
      <c r="K27" s="178"/>
      <c r="L27" s="223"/>
    </row>
    <row r="28" spans="1:12">
      <c r="A28" s="178" t="s">
        <v>1165</v>
      </c>
      <c r="B28" s="178" t="s">
        <v>1111</v>
      </c>
      <c r="C28" s="177">
        <v>100</v>
      </c>
      <c r="D28" s="223"/>
      <c r="E28" s="178" t="s">
        <v>125</v>
      </c>
      <c r="F28" s="223"/>
      <c r="G28" s="177">
        <v>166</v>
      </c>
      <c r="H28" s="223"/>
      <c r="I28" s="177">
        <v>211</v>
      </c>
      <c r="J28" s="223"/>
      <c r="K28" s="178"/>
      <c r="L28" s="223"/>
    </row>
    <row r="29" spans="1:12">
      <c r="B29" s="178" t="s">
        <v>1150</v>
      </c>
      <c r="D29" s="223"/>
      <c r="F29" s="223"/>
      <c r="G29" s="177">
        <v>0</v>
      </c>
      <c r="H29" s="223"/>
      <c r="I29" s="226" t="s">
        <v>1157</v>
      </c>
      <c r="J29" s="223"/>
      <c r="K29" s="178"/>
      <c r="L29" s="223"/>
    </row>
    <row r="30" spans="1:12">
      <c r="B30" s="178" t="s">
        <v>1152</v>
      </c>
      <c r="C30" s="177">
        <v>5.09</v>
      </c>
      <c r="D30" s="223">
        <v>2.1800000000000002</v>
      </c>
      <c r="E30" s="178" t="s">
        <v>125</v>
      </c>
      <c r="F30" s="223"/>
      <c r="G30" s="177">
        <v>4.53</v>
      </c>
      <c r="H30" s="223">
        <v>2.2999999999999998</v>
      </c>
      <c r="I30" s="177">
        <v>3.04</v>
      </c>
      <c r="J30" s="223">
        <v>1.05</v>
      </c>
      <c r="K30" s="178" t="s">
        <v>1148</v>
      </c>
      <c r="L30" s="223"/>
    </row>
    <row r="31" spans="1:12">
      <c r="B31" s="178" t="s">
        <v>1111</v>
      </c>
      <c r="C31" s="177">
        <v>100</v>
      </c>
      <c r="D31" s="223"/>
      <c r="E31" s="178" t="s">
        <v>125</v>
      </c>
      <c r="F31" s="223"/>
      <c r="G31" s="177">
        <v>89</v>
      </c>
      <c r="H31" s="223"/>
      <c r="I31" s="177">
        <v>60</v>
      </c>
      <c r="J31" s="223"/>
      <c r="K31" s="178"/>
      <c r="L31" s="223"/>
    </row>
    <row r="32" spans="1:12">
      <c r="B32" s="178" t="s">
        <v>1150</v>
      </c>
      <c r="D32" s="223"/>
      <c r="F32" s="223"/>
      <c r="G32" s="177">
        <v>0</v>
      </c>
      <c r="H32" s="223"/>
      <c r="I32" s="226" t="s">
        <v>1154</v>
      </c>
      <c r="J32" s="223"/>
      <c r="K32" s="178"/>
      <c r="L32" s="223"/>
    </row>
    <row r="33" spans="1:12">
      <c r="B33" s="178" t="s">
        <v>1155</v>
      </c>
      <c r="C33" s="177">
        <v>4.47</v>
      </c>
      <c r="D33" s="223">
        <v>1.82</v>
      </c>
      <c r="E33" s="178" t="s">
        <v>125</v>
      </c>
      <c r="F33" s="223"/>
      <c r="G33" s="177">
        <v>3.86</v>
      </c>
      <c r="H33" s="223">
        <v>2.15</v>
      </c>
      <c r="I33" s="177">
        <v>1.96</v>
      </c>
      <c r="J33" s="223">
        <v>0.6</v>
      </c>
      <c r="K33" s="178" t="s">
        <v>1148</v>
      </c>
      <c r="L33" s="223"/>
    </row>
    <row r="34" spans="1:12">
      <c r="B34" s="178" t="s">
        <v>1111</v>
      </c>
      <c r="C34" s="177">
        <v>100</v>
      </c>
      <c r="D34" s="223"/>
      <c r="E34" s="178" t="s">
        <v>125</v>
      </c>
      <c r="F34" s="223"/>
      <c r="G34" s="177">
        <v>86</v>
      </c>
      <c r="H34" s="223"/>
      <c r="I34" s="177">
        <v>44</v>
      </c>
      <c r="J34" s="223"/>
      <c r="K34" s="178"/>
      <c r="L34" s="223"/>
    </row>
    <row r="35" spans="1:12">
      <c r="B35" s="178" t="s">
        <v>1150</v>
      </c>
      <c r="D35" s="223"/>
      <c r="E35" s="178"/>
      <c r="F35" s="223"/>
      <c r="G35" s="177">
        <v>0</v>
      </c>
      <c r="H35" s="223"/>
      <c r="I35" s="226" t="s">
        <v>1157</v>
      </c>
      <c r="J35" s="223"/>
      <c r="K35" s="178"/>
      <c r="L35" s="223"/>
    </row>
    <row r="36" spans="1:12">
      <c r="B36" s="178" t="s">
        <v>1158</v>
      </c>
      <c r="C36" s="177">
        <v>2.62</v>
      </c>
      <c r="D36" s="223">
        <v>1.49</v>
      </c>
      <c r="E36" s="178" t="s">
        <v>125</v>
      </c>
      <c r="F36" s="223"/>
      <c r="G36" s="177">
        <v>2.48</v>
      </c>
      <c r="H36" s="223">
        <v>1.73</v>
      </c>
      <c r="I36" s="177">
        <v>1.2</v>
      </c>
      <c r="J36" s="223">
        <v>0.61</v>
      </c>
      <c r="K36" s="178" t="s">
        <v>1148</v>
      </c>
      <c r="L36" s="223"/>
    </row>
    <row r="37" spans="1:12">
      <c r="B37" s="178" t="s">
        <v>1111</v>
      </c>
      <c r="C37" s="177">
        <v>100</v>
      </c>
      <c r="D37" s="223"/>
      <c r="E37" s="178" t="s">
        <v>125</v>
      </c>
      <c r="F37" s="223"/>
      <c r="G37" s="177">
        <v>95</v>
      </c>
      <c r="H37" s="223"/>
      <c r="I37" s="177">
        <v>46</v>
      </c>
      <c r="J37" s="223"/>
      <c r="K37" s="178"/>
      <c r="L37" s="223"/>
    </row>
    <row r="38" spans="1:12">
      <c r="B38" s="178" t="s">
        <v>1150</v>
      </c>
      <c r="D38" s="223"/>
      <c r="F38" s="223"/>
      <c r="G38" s="177">
        <v>0</v>
      </c>
      <c r="H38" s="223"/>
      <c r="I38" s="226" t="s">
        <v>1154</v>
      </c>
      <c r="J38" s="223"/>
      <c r="K38" s="178"/>
      <c r="L38" s="223"/>
    </row>
    <row r="39" spans="1:12">
      <c r="B39" s="178" t="s">
        <v>1159</v>
      </c>
      <c r="C39" s="177">
        <v>12.18</v>
      </c>
      <c r="D39" s="223">
        <v>5.98</v>
      </c>
      <c r="E39" s="178" t="s">
        <v>125</v>
      </c>
      <c r="F39" s="223"/>
      <c r="G39" s="177">
        <v>10.87</v>
      </c>
      <c r="H39" s="223">
        <v>5.38</v>
      </c>
      <c r="I39" s="177">
        <v>6.2</v>
      </c>
      <c r="J39" s="223">
        <v>1.95</v>
      </c>
      <c r="K39" s="178" t="s">
        <v>1148</v>
      </c>
      <c r="L39" s="223"/>
    </row>
    <row r="40" spans="1:12">
      <c r="B40" s="178" t="s">
        <v>1111</v>
      </c>
      <c r="C40" s="177">
        <v>100</v>
      </c>
      <c r="D40" s="223"/>
      <c r="E40" s="178" t="s">
        <v>125</v>
      </c>
      <c r="F40" s="223"/>
      <c r="G40" s="177">
        <v>89</v>
      </c>
      <c r="H40" s="223"/>
      <c r="I40" s="177">
        <v>51</v>
      </c>
      <c r="J40" s="223"/>
      <c r="K40" s="178"/>
      <c r="L40" s="223"/>
    </row>
    <row r="41" spans="1:12">
      <c r="B41" s="178" t="s">
        <v>1150</v>
      </c>
      <c r="D41" s="223"/>
      <c r="F41" s="223"/>
      <c r="G41" s="177">
        <v>0</v>
      </c>
      <c r="H41" s="223"/>
      <c r="I41" s="226" t="s">
        <v>1154</v>
      </c>
      <c r="J41" s="223"/>
      <c r="K41" s="178"/>
      <c r="L41" s="223"/>
    </row>
    <row r="42" spans="1:12">
      <c r="A42" s="227"/>
      <c r="B42" s="228" t="s">
        <v>1160</v>
      </c>
      <c r="C42" s="227">
        <v>17</v>
      </c>
      <c r="D42" s="229"/>
      <c r="E42" s="227"/>
      <c r="F42" s="229"/>
      <c r="G42" s="227">
        <v>14</v>
      </c>
      <c r="H42" s="229"/>
      <c r="I42" s="227">
        <v>14</v>
      </c>
      <c r="J42" s="229"/>
      <c r="K42" s="228"/>
      <c r="L42" s="229"/>
    </row>
    <row r="43" spans="1:12">
      <c r="A43" s="224" t="s">
        <v>1166</v>
      </c>
      <c r="B43" s="224" t="s">
        <v>1147</v>
      </c>
      <c r="C43" s="186">
        <v>22.19</v>
      </c>
      <c r="D43" s="225">
        <v>3.46</v>
      </c>
      <c r="E43" s="224">
        <v>20.78</v>
      </c>
      <c r="F43" s="225">
        <v>4.38</v>
      </c>
      <c r="G43" s="186">
        <v>20.54</v>
      </c>
      <c r="H43" s="186">
        <v>3.09</v>
      </c>
      <c r="I43" s="186">
        <v>22.75</v>
      </c>
      <c r="J43" s="186">
        <v>0.64</v>
      </c>
      <c r="K43" s="224">
        <v>22.21</v>
      </c>
      <c r="L43" s="186">
        <v>3.32</v>
      </c>
    </row>
    <row r="44" spans="1:12">
      <c r="B44" s="178" t="s">
        <v>1111</v>
      </c>
      <c r="C44" s="177">
        <v>100</v>
      </c>
      <c r="D44" s="223"/>
      <c r="E44" s="178">
        <v>94</v>
      </c>
      <c r="F44" s="223"/>
      <c r="G44" s="177">
        <v>93</v>
      </c>
      <c r="I44" s="177">
        <v>103</v>
      </c>
      <c r="K44" s="178">
        <v>100</v>
      </c>
    </row>
    <row r="45" spans="1:12">
      <c r="A45" s="178" t="s">
        <v>1162</v>
      </c>
      <c r="B45" s="178" t="s">
        <v>1150</v>
      </c>
      <c r="D45" s="223"/>
      <c r="E45" s="177">
        <v>0</v>
      </c>
      <c r="F45" s="223"/>
      <c r="G45" s="178" t="s">
        <v>1156</v>
      </c>
      <c r="I45" s="177">
        <v>0</v>
      </c>
      <c r="K45" s="178">
        <v>0</v>
      </c>
    </row>
    <row r="46" spans="1:12">
      <c r="A46" s="178" t="s">
        <v>1163</v>
      </c>
      <c r="B46" s="178" t="s">
        <v>1164</v>
      </c>
      <c r="C46" s="177">
        <v>4.0599999999999996</v>
      </c>
      <c r="D46" s="223">
        <v>1.6</v>
      </c>
      <c r="E46" s="178">
        <v>4.33</v>
      </c>
      <c r="F46" s="223">
        <v>1.1100000000000001</v>
      </c>
      <c r="G46" s="177">
        <v>4.8499999999999996</v>
      </c>
      <c r="H46" s="177">
        <v>1.08</v>
      </c>
      <c r="I46" s="177">
        <v>5.45</v>
      </c>
      <c r="J46" s="177">
        <v>1.48</v>
      </c>
      <c r="K46" s="178">
        <v>4.72</v>
      </c>
      <c r="L46" s="177">
        <v>1.27</v>
      </c>
    </row>
    <row r="47" spans="1:12">
      <c r="A47" s="178" t="s">
        <v>1165</v>
      </c>
      <c r="B47" s="178" t="s">
        <v>1111</v>
      </c>
      <c r="C47" s="177">
        <v>100</v>
      </c>
      <c r="D47" s="223"/>
      <c r="E47" s="178">
        <v>107</v>
      </c>
      <c r="F47" s="223"/>
      <c r="G47" s="177">
        <v>119</v>
      </c>
      <c r="I47" s="177">
        <v>134</v>
      </c>
      <c r="K47" s="178">
        <v>116</v>
      </c>
    </row>
    <row r="48" spans="1:12">
      <c r="A48" s="182"/>
      <c r="B48" s="178" t="s">
        <v>1150</v>
      </c>
      <c r="D48" s="223"/>
      <c r="E48" s="177">
        <v>0</v>
      </c>
      <c r="F48" s="223"/>
      <c r="G48" s="178" t="s">
        <v>1156</v>
      </c>
      <c r="H48" s="178"/>
      <c r="I48" s="178" t="s">
        <v>1157</v>
      </c>
      <c r="K48" s="178">
        <v>0</v>
      </c>
    </row>
    <row r="49" spans="1:12">
      <c r="A49" s="179" t="s">
        <v>1167</v>
      </c>
      <c r="B49" s="178" t="s">
        <v>1152</v>
      </c>
      <c r="C49" s="177">
        <v>0.88</v>
      </c>
      <c r="D49" s="223">
        <v>0.36</v>
      </c>
      <c r="E49" s="178">
        <v>0.75</v>
      </c>
      <c r="F49" s="223">
        <v>0.34</v>
      </c>
      <c r="G49" s="177">
        <v>0.66</v>
      </c>
      <c r="H49" s="177">
        <v>0.27</v>
      </c>
      <c r="I49" s="177">
        <v>0.77</v>
      </c>
      <c r="J49" s="177">
        <v>0.35</v>
      </c>
      <c r="K49" s="178">
        <v>0.47</v>
      </c>
      <c r="L49" s="177">
        <v>0.19</v>
      </c>
    </row>
    <row r="50" spans="1:12">
      <c r="A50" s="179" t="s">
        <v>1168</v>
      </c>
      <c r="B50" s="178" t="s">
        <v>1111</v>
      </c>
      <c r="C50" s="177">
        <v>100</v>
      </c>
      <c r="D50" s="223"/>
      <c r="E50" s="178">
        <v>85</v>
      </c>
      <c r="F50" s="223"/>
      <c r="G50" s="177">
        <v>75</v>
      </c>
      <c r="I50" s="177">
        <v>88</v>
      </c>
      <c r="K50" s="178">
        <v>53</v>
      </c>
    </row>
    <row r="51" spans="1:12">
      <c r="A51" s="179" t="s">
        <v>1169</v>
      </c>
      <c r="B51" s="178" t="s">
        <v>1150</v>
      </c>
      <c r="D51" s="223"/>
      <c r="E51" s="177">
        <v>0</v>
      </c>
      <c r="F51" s="223"/>
      <c r="G51" s="226" t="s">
        <v>1154</v>
      </c>
      <c r="H51" s="181"/>
      <c r="I51" s="181" t="s">
        <v>1170</v>
      </c>
      <c r="K51" s="178" t="s">
        <v>1157</v>
      </c>
    </row>
    <row r="52" spans="1:12">
      <c r="B52" s="178" t="s">
        <v>1155</v>
      </c>
      <c r="C52" s="177">
        <v>1.24</v>
      </c>
      <c r="D52" s="223">
        <v>0.39</v>
      </c>
      <c r="E52" s="178">
        <v>1.1399999999999999</v>
      </c>
      <c r="F52" s="223">
        <v>0.39</v>
      </c>
      <c r="G52" s="177">
        <v>1.08</v>
      </c>
      <c r="H52" s="177">
        <v>0.43</v>
      </c>
      <c r="I52" s="177">
        <v>0.7</v>
      </c>
      <c r="J52" s="177">
        <v>0.3</v>
      </c>
      <c r="K52" s="178">
        <v>0.37</v>
      </c>
      <c r="L52" s="177">
        <v>0.19</v>
      </c>
    </row>
    <row r="53" spans="1:12">
      <c r="B53" s="178" t="s">
        <v>1111</v>
      </c>
      <c r="C53" s="177">
        <v>100</v>
      </c>
      <c r="D53" s="223"/>
      <c r="E53" s="178">
        <v>92</v>
      </c>
      <c r="F53" s="223"/>
      <c r="G53" s="177">
        <v>87</v>
      </c>
      <c r="I53" s="177">
        <v>56</v>
      </c>
      <c r="K53" s="178">
        <v>30</v>
      </c>
    </row>
    <row r="54" spans="1:12">
      <c r="B54" s="178" t="s">
        <v>1150</v>
      </c>
      <c r="D54" s="223"/>
      <c r="E54" s="178">
        <v>0</v>
      </c>
      <c r="F54" s="223"/>
      <c r="G54" s="177">
        <v>0</v>
      </c>
      <c r="H54" s="178"/>
      <c r="I54" s="178" t="s">
        <v>1157</v>
      </c>
      <c r="K54" s="178" t="s">
        <v>1157</v>
      </c>
    </row>
    <row r="55" spans="1:12">
      <c r="B55" s="178" t="s">
        <v>1158</v>
      </c>
      <c r="C55" s="177">
        <v>1.29</v>
      </c>
      <c r="D55" s="223">
        <v>4.76</v>
      </c>
      <c r="E55" s="178">
        <v>1.22</v>
      </c>
      <c r="F55" s="223">
        <v>0.59</v>
      </c>
      <c r="G55" s="177">
        <v>0.95</v>
      </c>
      <c r="H55" s="177">
        <v>0.42</v>
      </c>
      <c r="I55" s="177">
        <v>0.87</v>
      </c>
      <c r="J55" s="177">
        <v>0.36</v>
      </c>
      <c r="K55" s="178">
        <v>0.67</v>
      </c>
      <c r="L55" s="177">
        <v>0.22</v>
      </c>
    </row>
    <row r="56" spans="1:12">
      <c r="B56" s="178" t="s">
        <v>1111</v>
      </c>
      <c r="C56" s="177">
        <v>100</v>
      </c>
      <c r="D56" s="223"/>
      <c r="E56" s="178">
        <v>95</v>
      </c>
      <c r="F56" s="223"/>
      <c r="G56" s="177">
        <v>74</v>
      </c>
      <c r="I56" s="177">
        <v>67</v>
      </c>
      <c r="K56" s="178">
        <v>52</v>
      </c>
    </row>
    <row r="57" spans="1:12">
      <c r="B57" s="178" t="s">
        <v>1150</v>
      </c>
      <c r="D57" s="223"/>
      <c r="E57" s="177">
        <v>0</v>
      </c>
      <c r="F57" s="223"/>
      <c r="G57" s="226" t="s">
        <v>1154</v>
      </c>
      <c r="H57" s="178"/>
      <c r="I57" s="178" t="s">
        <v>1157</v>
      </c>
      <c r="K57" s="178" t="s">
        <v>1157</v>
      </c>
    </row>
    <row r="58" spans="1:12">
      <c r="B58" s="178" t="s">
        <v>1159</v>
      </c>
      <c r="C58" s="177">
        <v>3.41</v>
      </c>
      <c r="D58" s="223">
        <v>1.05</v>
      </c>
      <c r="E58" s="178">
        <v>3.11</v>
      </c>
      <c r="F58" s="223">
        <v>1.1200000000000001</v>
      </c>
      <c r="G58" s="177">
        <v>2.69</v>
      </c>
      <c r="H58" s="177">
        <v>1</v>
      </c>
      <c r="I58" s="177">
        <v>2.34</v>
      </c>
      <c r="J58" s="177">
        <v>0.89</v>
      </c>
      <c r="K58" s="178">
        <v>1.51</v>
      </c>
      <c r="L58" s="177">
        <v>1.53</v>
      </c>
    </row>
    <row r="59" spans="1:12">
      <c r="B59" s="178" t="s">
        <v>1111</v>
      </c>
      <c r="C59" s="177">
        <v>100</v>
      </c>
      <c r="D59" s="223"/>
      <c r="E59" s="178">
        <v>92</v>
      </c>
      <c r="F59" s="223"/>
      <c r="G59" s="177">
        <v>79</v>
      </c>
      <c r="I59" s="177">
        <v>69</v>
      </c>
      <c r="K59" s="178">
        <v>45</v>
      </c>
    </row>
    <row r="60" spans="1:12">
      <c r="B60" s="178" t="s">
        <v>1150</v>
      </c>
      <c r="D60" s="223"/>
      <c r="E60" s="177">
        <v>0</v>
      </c>
      <c r="F60" s="223"/>
      <c r="G60" s="226" t="s">
        <v>1157</v>
      </c>
      <c r="H60" s="178"/>
      <c r="I60" s="178" t="s">
        <v>1157</v>
      </c>
      <c r="K60" s="178" t="s">
        <v>1157</v>
      </c>
    </row>
    <row r="61" spans="1:12">
      <c r="A61" s="227"/>
      <c r="B61" s="228" t="s">
        <v>1160</v>
      </c>
      <c r="C61" s="227">
        <v>31</v>
      </c>
      <c r="D61" s="229"/>
      <c r="E61" s="227">
        <v>36</v>
      </c>
      <c r="F61" s="229"/>
      <c r="G61" s="227">
        <v>29</v>
      </c>
      <c r="H61" s="227"/>
      <c r="I61" s="227">
        <v>39</v>
      </c>
      <c r="J61" s="227"/>
      <c r="K61" s="228">
        <v>29</v>
      </c>
      <c r="L61" s="227"/>
    </row>
    <row r="62" spans="1:12">
      <c r="A62" s="224" t="s">
        <v>1171</v>
      </c>
      <c r="B62" s="224" t="s">
        <v>1147</v>
      </c>
      <c r="C62" s="186">
        <v>50.85</v>
      </c>
      <c r="D62" s="225">
        <v>6.61</v>
      </c>
      <c r="E62" s="224">
        <v>47.16</v>
      </c>
      <c r="F62" s="225">
        <v>9.6300000000000008</v>
      </c>
      <c r="G62" s="186">
        <v>51.68</v>
      </c>
      <c r="H62" s="186">
        <v>11.68</v>
      </c>
      <c r="I62" s="186">
        <v>51.1</v>
      </c>
      <c r="J62" s="186">
        <v>10.7</v>
      </c>
      <c r="K62" s="224">
        <v>51.39</v>
      </c>
      <c r="L62" s="186">
        <v>9.6</v>
      </c>
    </row>
    <row r="63" spans="1:12">
      <c r="B63" s="178" t="s">
        <v>1111</v>
      </c>
      <c r="C63" s="177">
        <v>100</v>
      </c>
      <c r="D63" s="223"/>
      <c r="E63" s="178">
        <v>93</v>
      </c>
      <c r="F63" s="223"/>
      <c r="G63" s="177">
        <v>102</v>
      </c>
      <c r="I63" s="177">
        <v>100</v>
      </c>
      <c r="K63" s="178">
        <v>101</v>
      </c>
    </row>
    <row r="64" spans="1:12">
      <c r="A64" s="178" t="s">
        <v>1162</v>
      </c>
      <c r="B64" s="178" t="s">
        <v>1150</v>
      </c>
      <c r="D64" s="223"/>
      <c r="E64" s="177">
        <v>0</v>
      </c>
      <c r="F64" s="223"/>
      <c r="G64" s="178">
        <v>0</v>
      </c>
      <c r="I64" s="177">
        <v>0</v>
      </c>
      <c r="K64" s="178">
        <v>0</v>
      </c>
    </row>
    <row r="65" spans="1:12">
      <c r="A65" s="178" t="s">
        <v>1163</v>
      </c>
      <c r="B65" s="178" t="s">
        <v>1164</v>
      </c>
      <c r="C65" s="177">
        <v>11.48</v>
      </c>
      <c r="D65" s="223">
        <v>6.06</v>
      </c>
      <c r="E65" s="178">
        <v>10.98</v>
      </c>
      <c r="F65" s="223">
        <v>8.0399999999999991</v>
      </c>
      <c r="G65" s="177">
        <v>13.83</v>
      </c>
      <c r="H65" s="177">
        <v>9.2899999999999991</v>
      </c>
      <c r="I65" s="177">
        <v>11.77</v>
      </c>
      <c r="J65" s="177">
        <v>9.0500000000000007</v>
      </c>
      <c r="K65" s="178">
        <v>14.21</v>
      </c>
      <c r="L65" s="177">
        <v>8.94</v>
      </c>
    </row>
    <row r="66" spans="1:12">
      <c r="A66" s="178" t="s">
        <v>1165</v>
      </c>
      <c r="B66" s="178" t="s">
        <v>1111</v>
      </c>
      <c r="C66" s="177">
        <v>100</v>
      </c>
      <c r="D66" s="223"/>
      <c r="E66" s="178">
        <v>96</v>
      </c>
      <c r="F66" s="223"/>
      <c r="G66" s="177">
        <v>120</v>
      </c>
      <c r="I66" s="177">
        <v>103</v>
      </c>
      <c r="K66" s="178">
        <v>124</v>
      </c>
    </row>
    <row r="67" spans="1:12">
      <c r="A67" s="179"/>
      <c r="B67" s="178" t="s">
        <v>1150</v>
      </c>
      <c r="D67" s="223"/>
      <c r="E67" s="177">
        <v>0</v>
      </c>
      <c r="F67" s="223"/>
      <c r="G67" s="178">
        <v>0</v>
      </c>
      <c r="H67" s="178"/>
      <c r="I67" s="178">
        <v>0</v>
      </c>
      <c r="K67" s="178">
        <v>0</v>
      </c>
    </row>
    <row r="68" spans="1:12">
      <c r="A68" s="179" t="s">
        <v>1167</v>
      </c>
      <c r="B68" s="178" t="s">
        <v>1152</v>
      </c>
      <c r="C68" s="177">
        <v>10.66</v>
      </c>
      <c r="D68" s="223">
        <v>6.18</v>
      </c>
      <c r="E68" s="178">
        <v>9.56</v>
      </c>
      <c r="F68" s="223">
        <v>8.27</v>
      </c>
      <c r="G68" s="177">
        <v>10.210000000000001</v>
      </c>
      <c r="H68" s="177">
        <v>6.56</v>
      </c>
      <c r="I68" s="177">
        <v>8.34</v>
      </c>
      <c r="J68" s="177">
        <v>5.59</v>
      </c>
      <c r="K68" s="178">
        <v>6.93</v>
      </c>
      <c r="L68" s="177">
        <v>3.41</v>
      </c>
    </row>
    <row r="69" spans="1:12">
      <c r="A69" s="179" t="s">
        <v>1168</v>
      </c>
      <c r="B69" s="178" t="s">
        <v>1111</v>
      </c>
      <c r="C69" s="177">
        <v>100</v>
      </c>
      <c r="D69" s="223"/>
      <c r="E69" s="178">
        <v>90</v>
      </c>
      <c r="F69" s="223"/>
      <c r="G69" s="177">
        <v>96</v>
      </c>
      <c r="I69" s="177">
        <v>88</v>
      </c>
      <c r="K69" s="178">
        <v>65</v>
      </c>
    </row>
    <row r="70" spans="1:12">
      <c r="A70" s="179" t="s">
        <v>1172</v>
      </c>
      <c r="B70" s="178" t="s">
        <v>1150</v>
      </c>
      <c r="D70" s="223"/>
      <c r="E70" s="177">
        <v>0</v>
      </c>
      <c r="F70" s="223"/>
      <c r="G70" s="230" t="s">
        <v>1170</v>
      </c>
      <c r="H70" s="181"/>
      <c r="I70" s="181">
        <v>0</v>
      </c>
      <c r="K70" s="226" t="s">
        <v>1154</v>
      </c>
    </row>
    <row r="71" spans="1:12">
      <c r="B71" s="178" t="s">
        <v>1155</v>
      </c>
      <c r="C71" s="177">
        <v>13.3</v>
      </c>
      <c r="D71" s="223">
        <v>6.45</v>
      </c>
      <c r="E71" s="178">
        <v>12.03</v>
      </c>
      <c r="F71" s="223">
        <v>6.74</v>
      </c>
      <c r="G71" s="177">
        <v>11.89</v>
      </c>
      <c r="H71" s="177">
        <v>8.4499999999999993</v>
      </c>
      <c r="I71" s="177">
        <v>8.24</v>
      </c>
      <c r="J71" s="177">
        <v>4.76</v>
      </c>
      <c r="K71" s="178">
        <v>5.09</v>
      </c>
      <c r="L71" s="177">
        <v>2.12</v>
      </c>
    </row>
    <row r="72" spans="1:12">
      <c r="B72" s="178" t="s">
        <v>1111</v>
      </c>
      <c r="C72" s="177">
        <v>100</v>
      </c>
      <c r="D72" s="223"/>
      <c r="E72" s="178">
        <v>90</v>
      </c>
      <c r="F72" s="223"/>
      <c r="G72" s="177">
        <v>89</v>
      </c>
      <c r="I72" s="177">
        <v>62</v>
      </c>
      <c r="K72" s="178">
        <v>38</v>
      </c>
    </row>
    <row r="73" spans="1:12">
      <c r="B73" s="178" t="s">
        <v>1150</v>
      </c>
      <c r="D73" s="223"/>
      <c r="E73" s="178">
        <v>0</v>
      </c>
      <c r="F73" s="223"/>
      <c r="G73" s="177">
        <v>0</v>
      </c>
      <c r="H73" s="178"/>
      <c r="I73" s="178" t="s">
        <v>1157</v>
      </c>
      <c r="K73" s="178" t="s">
        <v>1157</v>
      </c>
    </row>
    <row r="74" spans="1:12">
      <c r="B74" s="178" t="s">
        <v>1158</v>
      </c>
      <c r="C74" s="177">
        <v>2.2999999999999998</v>
      </c>
      <c r="D74" s="223">
        <v>0.92</v>
      </c>
      <c r="E74" s="178">
        <v>2.2999999999999998</v>
      </c>
      <c r="F74" s="223">
        <v>1.64</v>
      </c>
      <c r="G74" s="177">
        <v>2.15</v>
      </c>
      <c r="H74" s="177">
        <v>1.91</v>
      </c>
      <c r="I74" s="177">
        <v>1.1499999999999999</v>
      </c>
      <c r="J74" s="177">
        <v>0.88</v>
      </c>
      <c r="K74" s="178">
        <v>0.98</v>
      </c>
      <c r="L74" s="177">
        <v>9.3699999999999992</v>
      </c>
    </row>
    <row r="75" spans="1:12">
      <c r="B75" s="178" t="s">
        <v>1111</v>
      </c>
      <c r="C75" s="177">
        <v>100</v>
      </c>
      <c r="D75" s="223"/>
      <c r="E75" s="178">
        <v>100</v>
      </c>
      <c r="F75" s="223"/>
      <c r="G75" s="177">
        <v>93</v>
      </c>
      <c r="I75" s="177">
        <v>50</v>
      </c>
      <c r="K75" s="178">
        <v>43</v>
      </c>
    </row>
    <row r="76" spans="1:12">
      <c r="B76" s="178" t="s">
        <v>1150</v>
      </c>
      <c r="D76" s="223"/>
      <c r="E76" s="177">
        <v>0</v>
      </c>
      <c r="F76" s="223"/>
      <c r="G76" s="231" t="s">
        <v>1170</v>
      </c>
      <c r="H76" s="178"/>
      <c r="I76" s="178" t="s">
        <v>1157</v>
      </c>
      <c r="K76" s="178" t="s">
        <v>1157</v>
      </c>
    </row>
    <row r="77" spans="1:12">
      <c r="B77" s="178" t="s">
        <v>1159</v>
      </c>
      <c r="C77" s="177">
        <v>26.26</v>
      </c>
      <c r="D77" s="223">
        <v>13.09</v>
      </c>
      <c r="E77" s="178">
        <v>23.89</v>
      </c>
      <c r="F77" s="223">
        <v>13.16</v>
      </c>
      <c r="G77" s="177">
        <v>24.25</v>
      </c>
      <c r="H77" s="177">
        <v>15.71</v>
      </c>
      <c r="I77" s="177">
        <v>17.73</v>
      </c>
      <c r="J77" s="177">
        <v>10.27</v>
      </c>
      <c r="K77" s="178">
        <v>13</v>
      </c>
      <c r="L77" s="177">
        <v>6.05</v>
      </c>
    </row>
    <row r="78" spans="1:12">
      <c r="B78" s="178" t="s">
        <v>1111</v>
      </c>
      <c r="C78" s="177">
        <v>100</v>
      </c>
      <c r="D78" s="223"/>
      <c r="E78" s="178">
        <v>91</v>
      </c>
      <c r="F78" s="223"/>
      <c r="G78" s="177">
        <v>92</v>
      </c>
      <c r="I78" s="177">
        <v>68</v>
      </c>
      <c r="K78" s="178">
        <v>50</v>
      </c>
    </row>
    <row r="79" spans="1:12">
      <c r="B79" s="178" t="s">
        <v>1150</v>
      </c>
      <c r="D79" s="223"/>
      <c r="E79" s="177">
        <v>0</v>
      </c>
      <c r="F79" s="223"/>
      <c r="G79" s="231" t="s">
        <v>1170</v>
      </c>
      <c r="H79" s="178"/>
      <c r="I79" s="178">
        <v>0</v>
      </c>
      <c r="K79" s="178">
        <v>0</v>
      </c>
    </row>
    <row r="80" spans="1:12">
      <c r="A80" s="227"/>
      <c r="B80" s="228" t="s">
        <v>1160</v>
      </c>
      <c r="C80" s="227">
        <v>22</v>
      </c>
      <c r="D80" s="229"/>
      <c r="E80" s="227">
        <v>23</v>
      </c>
      <c r="F80" s="229"/>
      <c r="G80" s="227">
        <v>23</v>
      </c>
      <c r="H80" s="227"/>
      <c r="I80" s="227">
        <v>35</v>
      </c>
      <c r="J80" s="227"/>
      <c r="K80" s="228">
        <v>24</v>
      </c>
      <c r="L80" s="227"/>
    </row>
    <row r="81" spans="1:12">
      <c r="A81" s="224" t="s">
        <v>1173</v>
      </c>
      <c r="B81" s="224" t="s">
        <v>1147</v>
      </c>
      <c r="C81" s="186">
        <v>21.19</v>
      </c>
      <c r="D81" s="223">
        <v>5.57</v>
      </c>
      <c r="E81" s="178">
        <v>22.69</v>
      </c>
      <c r="F81" s="223">
        <v>4.47</v>
      </c>
      <c r="G81" s="177">
        <v>24.54</v>
      </c>
      <c r="H81" s="177">
        <v>5.36</v>
      </c>
      <c r="I81" s="177">
        <v>24.16</v>
      </c>
      <c r="J81" s="177">
        <v>6.58</v>
      </c>
      <c r="K81" s="178">
        <v>26.52</v>
      </c>
      <c r="L81" s="177">
        <v>66.7</v>
      </c>
    </row>
    <row r="82" spans="1:12">
      <c r="B82" s="178" t="s">
        <v>1111</v>
      </c>
      <c r="C82" s="177">
        <v>100</v>
      </c>
      <c r="D82" s="223"/>
      <c r="E82" s="178">
        <v>107</v>
      </c>
      <c r="F82" s="223"/>
      <c r="G82" s="177">
        <v>116</v>
      </c>
      <c r="I82" s="177">
        <v>114</v>
      </c>
      <c r="K82" s="178">
        <v>125</v>
      </c>
    </row>
    <row r="83" spans="1:12">
      <c r="A83" s="178" t="s">
        <v>1174</v>
      </c>
      <c r="B83" s="178" t="s">
        <v>1150</v>
      </c>
      <c r="D83" s="223"/>
      <c r="E83" s="177">
        <v>0</v>
      </c>
      <c r="F83" s="223"/>
      <c r="G83" s="178" t="s">
        <v>1156</v>
      </c>
      <c r="H83" s="178"/>
      <c r="I83" s="178">
        <v>0</v>
      </c>
      <c r="K83" s="226" t="s">
        <v>1154</v>
      </c>
    </row>
    <row r="84" spans="1:12">
      <c r="A84" s="178" t="s">
        <v>1163</v>
      </c>
      <c r="B84" s="178" t="s">
        <v>1152</v>
      </c>
      <c r="C84" s="177">
        <v>2.52</v>
      </c>
      <c r="D84" s="223">
        <v>1.21</v>
      </c>
      <c r="E84" s="178">
        <v>2.39</v>
      </c>
      <c r="F84" s="223">
        <v>1.04</v>
      </c>
      <c r="G84" s="177">
        <v>2.58</v>
      </c>
      <c r="H84" s="177">
        <v>1.1599999999999999</v>
      </c>
      <c r="I84" s="177">
        <v>1.96</v>
      </c>
      <c r="J84" s="177">
        <v>0.9</v>
      </c>
      <c r="K84" s="178">
        <v>1.45</v>
      </c>
      <c r="L84" s="177">
        <v>0.54</v>
      </c>
    </row>
    <row r="85" spans="1:12">
      <c r="A85" s="182" t="s">
        <v>1165</v>
      </c>
      <c r="B85" s="178" t="s">
        <v>1111</v>
      </c>
      <c r="C85" s="177">
        <v>100</v>
      </c>
      <c r="D85" s="223"/>
      <c r="E85" s="178">
        <v>95</v>
      </c>
      <c r="F85" s="223"/>
      <c r="G85" s="177">
        <v>102</v>
      </c>
      <c r="I85" s="177">
        <v>78</v>
      </c>
      <c r="K85" s="178">
        <v>58</v>
      </c>
    </row>
    <row r="86" spans="1:12">
      <c r="A86" s="179"/>
      <c r="B86" s="178" t="s">
        <v>1150</v>
      </c>
      <c r="D86" s="223"/>
      <c r="E86" s="177">
        <v>0</v>
      </c>
      <c r="F86" s="223"/>
      <c r="G86" s="226" t="s">
        <v>1170</v>
      </c>
      <c r="H86" s="181"/>
      <c r="I86" s="181">
        <v>0</v>
      </c>
      <c r="K86" s="178" t="s">
        <v>1157</v>
      </c>
    </row>
    <row r="87" spans="1:12">
      <c r="A87" s="179"/>
      <c r="B87" s="178" t="s">
        <v>1155</v>
      </c>
      <c r="C87" s="177">
        <v>3.54</v>
      </c>
      <c r="D87" s="223">
        <v>1.92</v>
      </c>
      <c r="E87" s="178">
        <v>4.01</v>
      </c>
      <c r="F87" s="223">
        <v>1.58</v>
      </c>
      <c r="G87" s="177">
        <v>3.95</v>
      </c>
      <c r="H87" s="177">
        <v>2.69</v>
      </c>
      <c r="I87" s="177">
        <v>2.54</v>
      </c>
      <c r="J87" s="177">
        <v>1.28</v>
      </c>
      <c r="K87" s="178">
        <v>1.74</v>
      </c>
      <c r="L87" s="177">
        <v>0.91</v>
      </c>
    </row>
    <row r="88" spans="1:12">
      <c r="B88" s="178" t="s">
        <v>1111</v>
      </c>
      <c r="C88" s="177">
        <v>100</v>
      </c>
      <c r="D88" s="223"/>
      <c r="E88" s="178">
        <v>113</v>
      </c>
      <c r="F88" s="223"/>
      <c r="G88" s="177">
        <v>112</v>
      </c>
      <c r="I88" s="177">
        <v>72</v>
      </c>
      <c r="K88" s="178">
        <v>49</v>
      </c>
    </row>
    <row r="89" spans="1:12">
      <c r="B89" s="178" t="s">
        <v>1150</v>
      </c>
      <c r="D89" s="223"/>
      <c r="E89" s="178">
        <v>0</v>
      </c>
      <c r="F89" s="223"/>
      <c r="G89" s="177">
        <v>0</v>
      </c>
      <c r="H89" s="178"/>
      <c r="I89" s="178" t="s">
        <v>1156</v>
      </c>
      <c r="K89" s="178" t="s">
        <v>1157</v>
      </c>
    </row>
    <row r="90" spans="1:12">
      <c r="B90" s="178" t="s">
        <v>1158</v>
      </c>
      <c r="C90" s="177">
        <v>1.07</v>
      </c>
      <c r="D90" s="223">
        <v>0.54</v>
      </c>
      <c r="E90" s="178">
        <v>1.02</v>
      </c>
      <c r="F90" s="223">
        <v>0.42</v>
      </c>
      <c r="G90" s="177">
        <v>1.08</v>
      </c>
      <c r="H90" s="177">
        <v>0.45</v>
      </c>
      <c r="I90" s="177">
        <v>0.76</v>
      </c>
      <c r="J90" s="177">
        <v>0.39</v>
      </c>
      <c r="K90" s="178">
        <v>0.63</v>
      </c>
      <c r="L90" s="177">
        <v>0.38</v>
      </c>
    </row>
    <row r="91" spans="1:12">
      <c r="B91" s="178" t="s">
        <v>1111</v>
      </c>
      <c r="C91" s="177">
        <v>100</v>
      </c>
      <c r="D91" s="223"/>
      <c r="E91" s="178">
        <v>95</v>
      </c>
      <c r="F91" s="223"/>
      <c r="G91" s="177">
        <v>101</v>
      </c>
      <c r="I91" s="177">
        <v>71</v>
      </c>
      <c r="K91" s="178">
        <v>59</v>
      </c>
    </row>
    <row r="92" spans="1:12">
      <c r="B92" s="178" t="s">
        <v>1150</v>
      </c>
      <c r="D92" s="223"/>
      <c r="E92" s="177">
        <v>0</v>
      </c>
      <c r="F92" s="223"/>
      <c r="G92" s="226" t="s">
        <v>1170</v>
      </c>
      <c r="H92" s="178"/>
      <c r="I92" s="178" t="s">
        <v>1156</v>
      </c>
      <c r="K92" s="226" t="s">
        <v>1154</v>
      </c>
    </row>
    <row r="93" spans="1:12">
      <c r="B93" s="178" t="s">
        <v>1159</v>
      </c>
      <c r="C93" s="177">
        <v>7.13</v>
      </c>
      <c r="D93" s="223">
        <v>3.5</v>
      </c>
      <c r="E93" s="178">
        <v>7.42</v>
      </c>
      <c r="F93" s="223">
        <v>2.9</v>
      </c>
      <c r="G93" s="177">
        <v>7.61</v>
      </c>
      <c r="H93" s="177">
        <v>3.65</v>
      </c>
      <c r="I93" s="177">
        <v>5.26</v>
      </c>
      <c r="J93" s="177">
        <v>2.39</v>
      </c>
      <c r="K93" s="178">
        <v>3.82</v>
      </c>
      <c r="L93" s="177">
        <v>1.56</v>
      </c>
    </row>
    <row r="94" spans="1:12">
      <c r="B94" s="178" t="s">
        <v>1111</v>
      </c>
      <c r="C94" s="177">
        <v>100</v>
      </c>
      <c r="D94" s="223"/>
      <c r="E94" s="178">
        <v>104</v>
      </c>
      <c r="F94" s="223"/>
      <c r="G94" s="177">
        <v>107</v>
      </c>
      <c r="I94" s="177">
        <v>74</v>
      </c>
      <c r="K94" s="178">
        <v>54</v>
      </c>
    </row>
    <row r="95" spans="1:12">
      <c r="B95" s="178" t="s">
        <v>1150</v>
      </c>
      <c r="D95" s="223"/>
      <c r="E95" s="177">
        <v>0</v>
      </c>
      <c r="F95" s="223"/>
      <c r="G95" s="226" t="s">
        <v>1170</v>
      </c>
      <c r="H95" s="178"/>
      <c r="I95" s="178" t="s">
        <v>1156</v>
      </c>
      <c r="K95" s="178" t="s">
        <v>1157</v>
      </c>
    </row>
    <row r="96" spans="1:12">
      <c r="A96" s="228"/>
      <c r="B96" s="228" t="s">
        <v>1160</v>
      </c>
      <c r="C96" s="227">
        <v>21</v>
      </c>
      <c r="D96" s="229"/>
      <c r="E96" s="227">
        <v>25</v>
      </c>
      <c r="F96" s="229"/>
      <c r="G96" s="227">
        <v>25</v>
      </c>
      <c r="H96" s="227"/>
      <c r="I96" s="227">
        <v>27</v>
      </c>
      <c r="J96" s="227"/>
      <c r="K96" s="228">
        <v>22</v>
      </c>
      <c r="L96" s="227"/>
    </row>
    <row r="98" spans="1:12">
      <c r="A98" s="176" t="s">
        <v>1175</v>
      </c>
    </row>
    <row r="99" spans="1:12">
      <c r="A99" s="176" t="s">
        <v>1228</v>
      </c>
    </row>
    <row r="100" spans="1:12">
      <c r="A100" s="178" t="s">
        <v>1176</v>
      </c>
    </row>
    <row r="101" spans="1:12">
      <c r="A101" s="178" t="s">
        <v>1177</v>
      </c>
    </row>
    <row r="102" spans="1:12">
      <c r="A102" s="178" t="s">
        <v>1178</v>
      </c>
    </row>
    <row r="103" spans="1:12">
      <c r="B103" s="178" t="s">
        <v>1109</v>
      </c>
      <c r="C103" s="220">
        <v>0</v>
      </c>
      <c r="D103" s="220"/>
      <c r="E103" s="218" t="s">
        <v>1112</v>
      </c>
      <c r="F103" s="218"/>
      <c r="G103" s="218" t="s">
        <v>1114</v>
      </c>
      <c r="H103" s="218"/>
      <c r="I103" s="218" t="s">
        <v>934</v>
      </c>
      <c r="J103" s="218"/>
      <c r="K103" s="218" t="s">
        <v>935</v>
      </c>
    </row>
    <row r="104" spans="1:12">
      <c r="B104" s="178" t="s">
        <v>1146</v>
      </c>
      <c r="C104" s="219">
        <v>1</v>
      </c>
      <c r="D104" s="219"/>
      <c r="E104" s="219">
        <v>0.68</v>
      </c>
      <c r="F104" s="219"/>
      <c r="G104" s="219">
        <v>0.35</v>
      </c>
      <c r="H104" s="219"/>
      <c r="I104" s="219">
        <v>0.12</v>
      </c>
      <c r="J104" s="219"/>
      <c r="K104" s="219">
        <v>0.01</v>
      </c>
    </row>
    <row r="106" spans="1:12">
      <c r="A106" s="224" t="s">
        <v>871</v>
      </c>
      <c r="B106" s="224" t="s">
        <v>1179</v>
      </c>
      <c r="C106" s="186">
        <v>82</v>
      </c>
      <c r="D106" s="186"/>
      <c r="E106" s="186">
        <v>24</v>
      </c>
      <c r="F106" s="186"/>
      <c r="G106" s="186">
        <v>72</v>
      </c>
      <c r="H106" s="186"/>
      <c r="I106" s="186">
        <v>14</v>
      </c>
      <c r="J106" s="186"/>
      <c r="K106" s="224" t="s">
        <v>1148</v>
      </c>
      <c r="L106" s="224"/>
    </row>
    <row r="107" spans="1:12">
      <c r="B107" s="178" t="s">
        <v>1180</v>
      </c>
      <c r="C107" s="177">
        <v>130</v>
      </c>
      <c r="E107" s="177">
        <v>180</v>
      </c>
      <c r="G107" s="177">
        <v>100</v>
      </c>
      <c r="I107" s="177">
        <v>0</v>
      </c>
      <c r="K107" s="178" t="s">
        <v>1148</v>
      </c>
    </row>
    <row r="108" spans="1:12">
      <c r="B108" s="178" t="s">
        <v>1181</v>
      </c>
      <c r="C108" s="177">
        <v>0.47</v>
      </c>
      <c r="D108" s="232">
        <v>1</v>
      </c>
      <c r="E108" s="177">
        <v>0.46</v>
      </c>
      <c r="F108" s="232">
        <v>0.98</v>
      </c>
      <c r="G108" s="177">
        <v>0.41</v>
      </c>
      <c r="H108" s="177">
        <v>87</v>
      </c>
      <c r="I108" s="177">
        <v>0.28000000000000003</v>
      </c>
      <c r="J108" s="177">
        <v>60</v>
      </c>
      <c r="K108" s="178" t="s">
        <v>125</v>
      </c>
    </row>
    <row r="109" spans="1:12">
      <c r="A109" s="224" t="s">
        <v>1161</v>
      </c>
      <c r="B109" s="224" t="s">
        <v>1179</v>
      </c>
      <c r="C109" s="186">
        <v>227</v>
      </c>
      <c r="D109" s="186"/>
      <c r="E109" s="224" t="s">
        <v>125</v>
      </c>
      <c r="F109" s="186"/>
      <c r="G109" s="186">
        <v>192</v>
      </c>
      <c r="H109" s="186"/>
      <c r="I109" s="186">
        <v>67</v>
      </c>
      <c r="J109" s="186"/>
      <c r="K109" s="224" t="s">
        <v>1148</v>
      </c>
      <c r="L109" s="224"/>
    </row>
    <row r="110" spans="1:12">
      <c r="B110" s="178" t="s">
        <v>1180</v>
      </c>
      <c r="C110" s="177">
        <v>157</v>
      </c>
      <c r="E110" s="178" t="s">
        <v>125</v>
      </c>
      <c r="G110" s="177">
        <v>122</v>
      </c>
      <c r="I110" s="177">
        <v>13</v>
      </c>
      <c r="K110" s="178" t="s">
        <v>1148</v>
      </c>
    </row>
    <row r="111" spans="1:12">
      <c r="B111" s="178" t="s">
        <v>1181</v>
      </c>
      <c r="C111" s="177">
        <v>0.57999999999999996</v>
      </c>
      <c r="D111" s="232">
        <v>1</v>
      </c>
      <c r="E111" s="178" t="s">
        <v>125</v>
      </c>
      <c r="G111" s="177">
        <v>0.55000000000000004</v>
      </c>
      <c r="H111" s="232">
        <v>0.95</v>
      </c>
      <c r="I111" s="177">
        <v>0.46</v>
      </c>
      <c r="J111" s="232">
        <v>0.79</v>
      </c>
      <c r="K111" s="178" t="s">
        <v>125</v>
      </c>
    </row>
    <row r="112" spans="1:12">
      <c r="A112" s="224" t="s">
        <v>1166</v>
      </c>
      <c r="B112" s="224" t="s">
        <v>1179</v>
      </c>
      <c r="C112" s="186">
        <v>173</v>
      </c>
      <c r="D112" s="186"/>
      <c r="E112" s="186">
        <v>153</v>
      </c>
      <c r="F112" s="186"/>
      <c r="G112" s="186">
        <v>119</v>
      </c>
      <c r="H112" s="186"/>
      <c r="I112" s="186">
        <v>90</v>
      </c>
      <c r="J112" s="186"/>
      <c r="K112" s="186">
        <v>23</v>
      </c>
      <c r="L112" s="224"/>
    </row>
    <row r="113" spans="1:12">
      <c r="B113" s="178" t="s">
        <v>1180</v>
      </c>
      <c r="C113" s="177">
        <v>182</v>
      </c>
      <c r="E113" s="177">
        <v>159</v>
      </c>
      <c r="G113" s="177">
        <v>145</v>
      </c>
      <c r="I113" s="177">
        <v>59</v>
      </c>
      <c r="K113" s="177">
        <v>-16</v>
      </c>
    </row>
    <row r="114" spans="1:12">
      <c r="B114" s="178" t="s">
        <v>1181</v>
      </c>
      <c r="C114" s="177">
        <v>0.56999999999999995</v>
      </c>
      <c r="D114" s="232">
        <v>1</v>
      </c>
      <c r="E114" s="177">
        <v>0.56999999999999995</v>
      </c>
      <c r="F114" s="232">
        <v>1</v>
      </c>
      <c r="G114" s="177">
        <v>0.67</v>
      </c>
      <c r="H114" s="232">
        <v>1.18</v>
      </c>
      <c r="I114" s="177">
        <v>0.43</v>
      </c>
      <c r="J114" s="232">
        <v>0.75</v>
      </c>
      <c r="K114" s="177">
        <v>0.33</v>
      </c>
      <c r="L114" s="232">
        <v>0.57999999999999996</v>
      </c>
    </row>
    <row r="115" spans="1:12">
      <c r="A115" s="224" t="s">
        <v>1171</v>
      </c>
      <c r="B115" s="224" t="s">
        <v>1179</v>
      </c>
      <c r="C115" s="186">
        <v>161</v>
      </c>
      <c r="D115" s="186"/>
      <c r="E115" s="186">
        <v>137</v>
      </c>
      <c r="F115" s="186"/>
      <c r="G115" s="186">
        <v>141</v>
      </c>
      <c r="H115" s="186"/>
      <c r="I115" s="186">
        <v>76</v>
      </c>
      <c r="J115" s="186"/>
      <c r="K115" s="186">
        <v>29</v>
      </c>
      <c r="L115" s="224"/>
    </row>
    <row r="116" spans="1:12">
      <c r="B116" s="178" t="s">
        <v>1180</v>
      </c>
      <c r="C116" s="177">
        <v>150</v>
      </c>
      <c r="E116" s="177">
        <v>127</v>
      </c>
      <c r="G116" s="177">
        <v>124</v>
      </c>
      <c r="I116" s="177">
        <v>55</v>
      </c>
      <c r="K116" s="177">
        <v>-4</v>
      </c>
    </row>
    <row r="117" spans="1:12">
      <c r="B117" s="178" t="s">
        <v>1181</v>
      </c>
      <c r="C117" s="177">
        <v>1.03</v>
      </c>
      <c r="D117" s="232">
        <v>1</v>
      </c>
      <c r="E117" s="177">
        <v>1.01</v>
      </c>
      <c r="F117" s="232">
        <v>0.98</v>
      </c>
      <c r="G117" s="177">
        <v>0.96</v>
      </c>
      <c r="H117" s="232">
        <v>0.93</v>
      </c>
      <c r="I117" s="177">
        <v>0.87</v>
      </c>
      <c r="J117" s="232">
        <v>0.85</v>
      </c>
      <c r="K117" s="177">
        <v>0.64</v>
      </c>
      <c r="L117" s="232">
        <v>0.62</v>
      </c>
    </row>
    <row r="118" spans="1:12">
      <c r="A118" s="224" t="s">
        <v>1182</v>
      </c>
      <c r="B118" s="224" t="s">
        <v>1179</v>
      </c>
      <c r="C118" s="186">
        <v>167</v>
      </c>
      <c r="D118" s="186"/>
      <c r="E118" s="186">
        <v>178</v>
      </c>
      <c r="F118" s="186"/>
      <c r="G118" s="186">
        <v>185</v>
      </c>
      <c r="H118" s="186"/>
      <c r="I118" s="186">
        <v>97</v>
      </c>
      <c r="J118" s="186"/>
      <c r="K118" s="186">
        <v>43</v>
      </c>
      <c r="L118" s="224"/>
    </row>
    <row r="119" spans="1:12">
      <c r="B119" s="178" t="s">
        <v>1180</v>
      </c>
      <c r="C119" s="177">
        <v>139</v>
      </c>
      <c r="E119" s="177">
        <v>171</v>
      </c>
      <c r="G119" s="177">
        <v>167</v>
      </c>
      <c r="I119" s="177">
        <v>72</v>
      </c>
      <c r="K119" s="177">
        <v>18</v>
      </c>
    </row>
    <row r="120" spans="1:12">
      <c r="B120" s="178" t="s">
        <v>1181</v>
      </c>
      <c r="C120" s="177">
        <v>0.98</v>
      </c>
      <c r="D120" s="232">
        <v>1</v>
      </c>
      <c r="E120" s="177">
        <v>1.18</v>
      </c>
      <c r="F120" s="232">
        <v>1.2</v>
      </c>
      <c r="G120" s="177">
        <v>1.08</v>
      </c>
      <c r="H120" s="232">
        <v>1.1000000000000001</v>
      </c>
      <c r="I120" s="177">
        <v>0.93</v>
      </c>
      <c r="J120" s="232">
        <v>0.95</v>
      </c>
      <c r="K120" s="177">
        <v>0.84</v>
      </c>
      <c r="L120" s="232">
        <v>0.86</v>
      </c>
    </row>
    <row r="121" spans="1:12">
      <c r="A121" s="233" t="s">
        <v>1183</v>
      </c>
      <c r="B121" s="233" t="s">
        <v>1179</v>
      </c>
      <c r="C121" s="233">
        <v>58</v>
      </c>
      <c r="D121" s="233"/>
      <c r="E121" s="233">
        <v>61</v>
      </c>
      <c r="F121" s="233"/>
      <c r="G121" s="233">
        <v>49</v>
      </c>
      <c r="H121" s="233"/>
      <c r="I121" s="233">
        <v>172</v>
      </c>
      <c r="J121" s="233"/>
      <c r="K121" s="233" t="s">
        <v>1148</v>
      </c>
      <c r="L121" s="233"/>
    </row>
    <row r="122" spans="1:12">
      <c r="B122" s="176" t="s">
        <v>1180</v>
      </c>
      <c r="C122" s="176">
        <v>53</v>
      </c>
      <c r="D122" s="176"/>
      <c r="E122" s="176">
        <v>62</v>
      </c>
      <c r="F122" s="176"/>
      <c r="G122" s="176">
        <v>50</v>
      </c>
      <c r="H122" s="176"/>
      <c r="I122" s="176">
        <v>187</v>
      </c>
      <c r="J122" s="176"/>
      <c r="K122" s="176" t="s">
        <v>1148</v>
      </c>
      <c r="L122" s="176"/>
    </row>
    <row r="123" spans="1:12">
      <c r="B123" s="176" t="s">
        <v>1181</v>
      </c>
      <c r="C123" s="176">
        <v>0.72</v>
      </c>
      <c r="D123" s="234">
        <v>1</v>
      </c>
      <c r="E123" s="176">
        <v>0.96</v>
      </c>
      <c r="F123" s="234">
        <v>1.33</v>
      </c>
      <c r="G123" s="176">
        <v>0.77</v>
      </c>
      <c r="H123" s="234">
        <v>1.07</v>
      </c>
      <c r="I123" s="176">
        <v>0.59</v>
      </c>
      <c r="J123" s="234">
        <v>0.82</v>
      </c>
      <c r="K123" s="176" t="s">
        <v>125</v>
      </c>
      <c r="L123" s="176"/>
    </row>
    <row r="124" spans="1:12">
      <c r="A124" s="224" t="s">
        <v>1184</v>
      </c>
      <c r="B124" s="224" t="s">
        <v>1179</v>
      </c>
      <c r="C124" s="186">
        <v>17</v>
      </c>
      <c r="D124" s="186"/>
      <c r="E124" s="186">
        <v>18</v>
      </c>
      <c r="F124" s="186"/>
      <c r="G124" s="186">
        <v>42</v>
      </c>
      <c r="H124" s="186"/>
      <c r="I124" s="186">
        <v>11</v>
      </c>
      <c r="J124" s="186"/>
      <c r="K124" s="186">
        <v>-24</v>
      </c>
      <c r="L124" s="224"/>
    </row>
    <row r="125" spans="1:12">
      <c r="A125" s="178"/>
      <c r="B125" s="178" t="s">
        <v>1180</v>
      </c>
      <c r="C125" s="177">
        <v>17</v>
      </c>
      <c r="E125" s="177">
        <v>17</v>
      </c>
      <c r="G125" s="177">
        <v>44</v>
      </c>
      <c r="I125" s="177">
        <v>15</v>
      </c>
      <c r="K125" s="177">
        <v>-33</v>
      </c>
    </row>
    <row r="126" spans="1:12">
      <c r="A126" s="178"/>
      <c r="B126" s="178" t="s">
        <v>1181</v>
      </c>
      <c r="C126" s="177">
        <v>1.96</v>
      </c>
      <c r="D126" s="232">
        <v>1</v>
      </c>
      <c r="E126" s="177">
        <v>1.84</v>
      </c>
      <c r="F126" s="232">
        <v>0.94</v>
      </c>
      <c r="G126" s="177">
        <v>1.87</v>
      </c>
      <c r="H126" s="232">
        <v>0.95</v>
      </c>
      <c r="I126" s="177">
        <v>1.83</v>
      </c>
      <c r="J126" s="232">
        <v>0.93</v>
      </c>
      <c r="K126" s="177">
        <v>1.54</v>
      </c>
      <c r="L126" s="232">
        <v>0.79</v>
      </c>
    </row>
    <row r="127" spans="1:12">
      <c r="A127" s="224" t="s">
        <v>1185</v>
      </c>
      <c r="B127" s="224" t="s">
        <v>1179</v>
      </c>
      <c r="C127" s="186">
        <v>87</v>
      </c>
      <c r="D127" s="186"/>
      <c r="E127" s="186">
        <v>24</v>
      </c>
      <c r="F127" s="186"/>
      <c r="G127" s="186">
        <v>13</v>
      </c>
      <c r="H127" s="186"/>
      <c r="I127" s="186">
        <v>24</v>
      </c>
      <c r="J127" s="186"/>
      <c r="K127" s="186">
        <v>18</v>
      </c>
      <c r="L127" s="224"/>
    </row>
    <row r="128" spans="1:12">
      <c r="A128" s="178"/>
      <c r="B128" s="178" t="s">
        <v>1180</v>
      </c>
      <c r="C128" s="177">
        <v>32</v>
      </c>
      <c r="E128" s="177">
        <v>76</v>
      </c>
      <c r="G128" s="177">
        <v>80</v>
      </c>
      <c r="I128" s="177">
        <v>76</v>
      </c>
      <c r="K128" s="177">
        <v>3</v>
      </c>
    </row>
    <row r="129" spans="1:12">
      <c r="A129" s="178"/>
      <c r="B129" s="178" t="s">
        <v>1181</v>
      </c>
      <c r="C129" s="177">
        <v>1.39</v>
      </c>
      <c r="D129" s="232">
        <v>1</v>
      </c>
      <c r="E129" s="177">
        <v>1.1200000000000001</v>
      </c>
      <c r="F129" s="232">
        <v>0.81</v>
      </c>
      <c r="G129" s="177">
        <v>1.01</v>
      </c>
      <c r="H129" s="232">
        <v>0.73</v>
      </c>
      <c r="I129" s="177">
        <v>0.81</v>
      </c>
      <c r="J129" s="232">
        <v>0.57999999999999996</v>
      </c>
      <c r="K129" s="177">
        <v>0.95</v>
      </c>
      <c r="L129" s="232">
        <v>0.68</v>
      </c>
    </row>
    <row r="130" spans="1:12">
      <c r="A130" s="178"/>
    </row>
    <row r="132" spans="1:12">
      <c r="A132" s="176" t="s">
        <v>1229</v>
      </c>
    </row>
    <row r="133" spans="1:12">
      <c r="A133" s="178" t="s">
        <v>1224</v>
      </c>
    </row>
    <row r="134" spans="1:12">
      <c r="A134" s="178"/>
    </row>
    <row r="135" spans="1:12">
      <c r="A135" s="178" t="s">
        <v>142</v>
      </c>
    </row>
    <row r="136" spans="1:12">
      <c r="A136" s="178" t="s">
        <v>1225</v>
      </c>
    </row>
    <row r="138" spans="1:12">
      <c r="A138" s="178" t="s">
        <v>1226</v>
      </c>
    </row>
    <row r="139" spans="1:12">
      <c r="A139" s="178" t="s">
        <v>1142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2:E35"/>
  <sheetViews>
    <sheetView workbookViewId="0">
      <selection activeCell="G25" sqref="G25"/>
    </sheetView>
  </sheetViews>
  <sheetFormatPr baseColWidth="10" defaultRowHeight="12.75"/>
  <cols>
    <col min="1" max="1" width="20.42578125" customWidth="1"/>
  </cols>
  <sheetData>
    <row r="2" spans="1:5">
      <c r="B2" t="s">
        <v>1552</v>
      </c>
      <c r="C2" t="s">
        <v>1552</v>
      </c>
      <c r="D2" t="s">
        <v>1553</v>
      </c>
      <c r="E2" t="s">
        <v>1553</v>
      </c>
    </row>
    <row r="3" spans="1:5">
      <c r="A3" t="s">
        <v>1547</v>
      </c>
      <c r="B3">
        <v>1</v>
      </c>
      <c r="C3">
        <v>2</v>
      </c>
      <c r="D3">
        <v>3</v>
      </c>
      <c r="E3">
        <v>4</v>
      </c>
    </row>
    <row r="4" spans="1:5">
      <c r="A4" t="s">
        <v>1548</v>
      </c>
      <c r="B4" t="s">
        <v>1549</v>
      </c>
      <c r="C4" t="s">
        <v>1549</v>
      </c>
      <c r="D4" t="s">
        <v>1550</v>
      </c>
      <c r="E4" t="s">
        <v>1550</v>
      </c>
    </row>
    <row r="5" spans="1:5">
      <c r="A5" t="s">
        <v>1568</v>
      </c>
      <c r="B5">
        <v>35</v>
      </c>
      <c r="C5">
        <v>35</v>
      </c>
      <c r="D5">
        <v>35</v>
      </c>
      <c r="E5">
        <v>35</v>
      </c>
    </row>
    <row r="6" spans="1:5">
      <c r="A6" t="s">
        <v>1569</v>
      </c>
      <c r="B6" t="s">
        <v>1572</v>
      </c>
      <c r="C6" t="s">
        <v>1572</v>
      </c>
      <c r="D6" t="s">
        <v>1572</v>
      </c>
      <c r="E6" t="s">
        <v>1572</v>
      </c>
    </row>
    <row r="7" spans="1:5">
      <c r="A7" t="s">
        <v>1570</v>
      </c>
      <c r="B7" t="s">
        <v>1573</v>
      </c>
      <c r="C7" t="s">
        <v>1573</v>
      </c>
      <c r="D7" t="s">
        <v>1573</v>
      </c>
      <c r="E7" t="s">
        <v>1573</v>
      </c>
    </row>
    <row r="8" spans="1:5">
      <c r="A8" t="s">
        <v>1571</v>
      </c>
      <c r="B8">
        <v>26</v>
      </c>
      <c r="C8">
        <v>26</v>
      </c>
      <c r="D8">
        <v>23</v>
      </c>
      <c r="E8">
        <v>23</v>
      </c>
    </row>
    <row r="9" spans="1:5">
      <c r="A9" t="s">
        <v>1551</v>
      </c>
      <c r="B9">
        <v>27.9</v>
      </c>
      <c r="C9">
        <v>30.1</v>
      </c>
      <c r="D9">
        <v>12.6</v>
      </c>
      <c r="E9">
        <v>12.5</v>
      </c>
    </row>
    <row r="10" spans="1:5">
      <c r="A10" t="s">
        <v>1554</v>
      </c>
      <c r="B10">
        <v>1540</v>
      </c>
      <c r="C10">
        <v>1840</v>
      </c>
      <c r="D10">
        <v>640</v>
      </c>
      <c r="E10">
        <v>900</v>
      </c>
    </row>
    <row r="11" spans="1:5">
      <c r="A11" t="s">
        <v>1559</v>
      </c>
    </row>
    <row r="12" spans="1:5">
      <c r="A12" t="s">
        <v>1555</v>
      </c>
      <c r="B12">
        <v>14.6</v>
      </c>
      <c r="C12">
        <v>14.2</v>
      </c>
      <c r="D12">
        <v>12.9</v>
      </c>
      <c r="E12">
        <v>10.3</v>
      </c>
    </row>
    <row r="13" spans="1:5">
      <c r="A13" t="s">
        <v>1556</v>
      </c>
    </row>
    <row r="14" spans="1:5">
      <c r="A14" t="s">
        <v>1557</v>
      </c>
    </row>
    <row r="15" spans="1:5">
      <c r="A15" t="s">
        <v>1558</v>
      </c>
      <c r="B15">
        <v>17.2</v>
      </c>
      <c r="C15">
        <v>17.3</v>
      </c>
      <c r="D15">
        <v>16.3</v>
      </c>
      <c r="E15">
        <v>15.2</v>
      </c>
    </row>
    <row r="16" spans="1:5">
      <c r="A16" t="s">
        <v>1555</v>
      </c>
    </row>
    <row r="17" spans="1:5">
      <c r="A17" t="s">
        <v>1556</v>
      </c>
    </row>
    <row r="18" spans="1:5">
      <c r="A18" t="s">
        <v>1557</v>
      </c>
    </row>
    <row r="19" spans="1:5">
      <c r="A19" t="s">
        <v>1560</v>
      </c>
      <c r="B19">
        <v>0.44</v>
      </c>
      <c r="C19">
        <v>0.49</v>
      </c>
      <c r="D19">
        <v>0.5</v>
      </c>
      <c r="E19">
        <v>0.67</v>
      </c>
    </row>
    <row r="20" spans="1:5">
      <c r="A20" t="s">
        <v>1555</v>
      </c>
    </row>
    <row r="21" spans="1:5">
      <c r="A21" t="s">
        <v>1556</v>
      </c>
    </row>
    <row r="22" spans="1:5">
      <c r="A22" t="s">
        <v>1557</v>
      </c>
    </row>
    <row r="24" spans="1:5">
      <c r="A24" t="s">
        <v>1561</v>
      </c>
    </row>
    <row r="25" spans="1:5">
      <c r="A25" t="s">
        <v>1562</v>
      </c>
      <c r="B25">
        <f>B15^2*PI()/4</f>
        <v>232.35219265950107</v>
      </c>
      <c r="C25">
        <f>C15^2*PI()/4</f>
        <v>235.0618163232223</v>
      </c>
      <c r="D25">
        <f>D15^2*PI()/4</f>
        <v>208.67243803306803</v>
      </c>
      <c r="E25">
        <f>E15^2*PI()/4</f>
        <v>181.45839167134645</v>
      </c>
    </row>
    <row r="26" spans="1:5">
      <c r="B26">
        <f>B9*10000/B10</f>
        <v>181.16883116883116</v>
      </c>
      <c r="C26">
        <f>C9*10000/C10</f>
        <v>163.58695652173913</v>
      </c>
      <c r="D26">
        <f>D9*10000/D10</f>
        <v>196.875</v>
      </c>
      <c r="E26">
        <f>E9*10000/E10</f>
        <v>138.88888888888889</v>
      </c>
    </row>
    <row r="27" spans="1:5">
      <c r="A27" t="s">
        <v>1574</v>
      </c>
    </row>
    <row r="28" spans="1:5">
      <c r="A28" t="s">
        <v>1575</v>
      </c>
      <c r="B28">
        <v>150</v>
      </c>
      <c r="C28">
        <v>150</v>
      </c>
      <c r="D28">
        <v>130</v>
      </c>
      <c r="E28">
        <v>130</v>
      </c>
    </row>
    <row r="29" spans="1:5">
      <c r="A29" t="s">
        <v>1576</v>
      </c>
      <c r="B29">
        <f>B28/B25</f>
        <v>0.6455716999400839</v>
      </c>
      <c r="C29">
        <f>C28/C25</f>
        <v>0.63813001339929298</v>
      </c>
      <c r="D29">
        <f>D28/D25</f>
        <v>0.62298596415209895</v>
      </c>
      <c r="E29">
        <f>E28/E25</f>
        <v>0.71641768012279761</v>
      </c>
    </row>
    <row r="31" spans="1:5">
      <c r="A31" t="s">
        <v>1563</v>
      </c>
    </row>
    <row r="32" spans="1:5">
      <c r="A32" t="s">
        <v>1564</v>
      </c>
      <c r="B32">
        <v>2.1999999999999999E-2</v>
      </c>
      <c r="C32">
        <v>4.5999999999999999E-2</v>
      </c>
      <c r="D32">
        <v>6.6000000000000003E-2</v>
      </c>
      <c r="E32">
        <v>3.9E-2</v>
      </c>
    </row>
    <row r="33" spans="1:5">
      <c r="A33" t="s">
        <v>1565</v>
      </c>
      <c r="B33">
        <v>3.3000000000000002E-2</v>
      </c>
      <c r="C33">
        <v>0.05</v>
      </c>
      <c r="D33">
        <v>7.4999999999999997E-2</v>
      </c>
      <c r="E33">
        <v>4.4999999999999998E-2</v>
      </c>
    </row>
    <row r="34" spans="1:5">
      <c r="A34" t="s">
        <v>1566</v>
      </c>
      <c r="B34">
        <v>4.2000000000000003E-2</v>
      </c>
      <c r="C34">
        <v>5.7000000000000002E-2</v>
      </c>
      <c r="D34">
        <v>6.5000000000000002E-2</v>
      </c>
      <c r="E34">
        <v>4.5999999999999999E-2</v>
      </c>
    </row>
    <row r="35" spans="1:5">
      <c r="A35" t="s">
        <v>1567</v>
      </c>
      <c r="B35">
        <v>5.5E-2</v>
      </c>
      <c r="C35">
        <v>0.10299999999999999</v>
      </c>
      <c r="D35">
        <v>7.1999999999999995E-2</v>
      </c>
      <c r="E35">
        <v>5.6000000000000001E-2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>
    <pageSetUpPr fitToPage="1"/>
  </sheetPr>
  <dimension ref="A1:L117"/>
  <sheetViews>
    <sheetView topLeftCell="A46" zoomScale="90" workbookViewId="0">
      <selection activeCell="B70" sqref="B70"/>
    </sheetView>
  </sheetViews>
  <sheetFormatPr baseColWidth="10" defaultRowHeight="12.75"/>
  <cols>
    <col min="1" max="1" width="18.140625" style="177" customWidth="1"/>
    <col min="2" max="2" width="12.7109375" style="177" customWidth="1"/>
    <col min="3" max="3" width="15.5703125" style="177" customWidth="1"/>
    <col min="4" max="4" width="13.7109375" style="177" customWidth="1"/>
    <col min="5" max="5" width="14.7109375" style="177" customWidth="1"/>
    <col min="6" max="6" width="12.28515625" style="177" customWidth="1"/>
    <col min="7" max="7" width="10.85546875" style="177" customWidth="1"/>
    <col min="8" max="8" width="15" style="177" customWidth="1"/>
    <col min="9" max="9" width="13" style="177" customWidth="1"/>
    <col min="10" max="10" width="13.5703125" style="177" bestFit="1" customWidth="1"/>
    <col min="11" max="11" width="13" style="177" bestFit="1" customWidth="1"/>
    <col min="12" max="12" width="12.28515625" style="177" bestFit="1" customWidth="1"/>
    <col min="13" max="16384" width="11.42578125" style="177"/>
  </cols>
  <sheetData>
    <row r="1" spans="1:8">
      <c r="A1" s="178" t="s">
        <v>1230</v>
      </c>
    </row>
    <row r="2" spans="1:8">
      <c r="A2" s="178" t="s">
        <v>1231</v>
      </c>
    </row>
    <row r="3" spans="1:8">
      <c r="A3" s="178" t="s">
        <v>1232</v>
      </c>
    </row>
    <row r="4" spans="1:8">
      <c r="A4" s="178" t="s">
        <v>1233</v>
      </c>
    </row>
    <row r="5" spans="1:8">
      <c r="A5" s="178" t="s">
        <v>1234</v>
      </c>
    </row>
    <row r="6" spans="1:8">
      <c r="A6" s="178" t="s">
        <v>1235</v>
      </c>
    </row>
    <row r="7" spans="1:8">
      <c r="A7" s="178" t="s">
        <v>1236</v>
      </c>
    </row>
    <row r="9" spans="1:8">
      <c r="A9" s="176" t="s">
        <v>1237</v>
      </c>
    </row>
    <row r="10" spans="1:8">
      <c r="A10" s="176" t="s">
        <v>1238</v>
      </c>
    </row>
    <row r="11" spans="1:8">
      <c r="A11" s="375" t="s">
        <v>1239</v>
      </c>
      <c r="B11" s="375" t="s">
        <v>1240</v>
      </c>
      <c r="C11" s="377" t="s">
        <v>1241</v>
      </c>
      <c r="D11" s="376"/>
      <c r="E11" s="376"/>
      <c r="F11" s="376"/>
      <c r="G11" s="376"/>
      <c r="H11" s="376"/>
    </row>
    <row r="12" spans="1:8">
      <c r="A12" s="376"/>
      <c r="B12" s="376"/>
      <c r="C12" s="373" t="s">
        <v>1242</v>
      </c>
      <c r="D12" s="374"/>
      <c r="E12" s="374"/>
      <c r="F12" s="373" t="s">
        <v>1243</v>
      </c>
      <c r="G12" s="374"/>
      <c r="H12" s="374"/>
    </row>
    <row r="13" spans="1:8" ht="25.5">
      <c r="A13" s="376"/>
      <c r="B13" s="376"/>
      <c r="C13" s="178" t="s">
        <v>1244</v>
      </c>
      <c r="D13" s="178" t="s">
        <v>1126</v>
      </c>
      <c r="E13" s="184" t="s">
        <v>1245</v>
      </c>
      <c r="F13" s="178" t="s">
        <v>1244</v>
      </c>
      <c r="G13" s="178" t="s">
        <v>1126</v>
      </c>
      <c r="H13" s="184" t="s">
        <v>1245</v>
      </c>
    </row>
    <row r="14" spans="1:8">
      <c r="A14" s="372" t="s">
        <v>871</v>
      </c>
      <c r="B14" s="372"/>
      <c r="C14" s="372"/>
      <c r="D14" s="372"/>
      <c r="E14" s="372"/>
      <c r="F14" s="372"/>
      <c r="G14" s="372"/>
      <c r="H14" s="372"/>
    </row>
    <row r="15" spans="1:8">
      <c r="A15" s="177">
        <v>0.8</v>
      </c>
      <c r="B15" s="177">
        <v>5</v>
      </c>
      <c r="C15" s="177">
        <v>32.799999999999997</v>
      </c>
      <c r="D15" s="177">
        <v>4.07</v>
      </c>
      <c r="E15" s="177">
        <v>27.7</v>
      </c>
      <c r="F15" s="177">
        <v>0.63</v>
      </c>
      <c r="G15" s="177">
        <v>0.08</v>
      </c>
      <c r="H15" s="177">
        <v>27.1</v>
      </c>
    </row>
    <row r="16" spans="1:8">
      <c r="A16" s="177">
        <v>0.8</v>
      </c>
      <c r="B16" s="177">
        <v>43</v>
      </c>
      <c r="C16" s="177">
        <v>33.9</v>
      </c>
      <c r="D16" s="177">
        <v>2.76</v>
      </c>
      <c r="E16" s="177">
        <v>24.4</v>
      </c>
      <c r="F16" s="177">
        <v>0.63</v>
      </c>
      <c r="G16" s="177">
        <v>0.05</v>
      </c>
      <c r="H16" s="177">
        <v>24.8</v>
      </c>
    </row>
    <row r="17" spans="1:10">
      <c r="A17" s="177">
        <v>1</v>
      </c>
      <c r="B17" s="177">
        <v>5</v>
      </c>
      <c r="C17" s="177">
        <v>25.5</v>
      </c>
      <c r="D17" s="177">
        <v>1.91</v>
      </c>
      <c r="E17" s="177">
        <v>18.399999999999999</v>
      </c>
      <c r="F17" s="177">
        <v>0.55000000000000004</v>
      </c>
      <c r="G17" s="177">
        <v>0.04</v>
      </c>
      <c r="H17" s="177">
        <v>18.399999999999999</v>
      </c>
    </row>
    <row r="18" spans="1:10">
      <c r="A18" s="177">
        <v>1.4</v>
      </c>
      <c r="B18" s="177">
        <v>8</v>
      </c>
      <c r="C18" s="177">
        <v>12.8</v>
      </c>
      <c r="D18" s="177">
        <v>1.37</v>
      </c>
      <c r="E18" s="177">
        <v>30.4</v>
      </c>
      <c r="F18" s="177">
        <v>0.43</v>
      </c>
      <c r="G18" s="177">
        <v>0.05</v>
      </c>
      <c r="H18" s="177">
        <v>30.2</v>
      </c>
    </row>
    <row r="19" spans="1:10">
      <c r="A19" s="177">
        <v>2</v>
      </c>
      <c r="B19" s="177">
        <v>13</v>
      </c>
      <c r="C19" s="177">
        <v>13</v>
      </c>
      <c r="D19" s="177">
        <v>1.18</v>
      </c>
      <c r="E19" s="177">
        <v>27.2</v>
      </c>
      <c r="F19" s="177">
        <v>0.56000000000000005</v>
      </c>
      <c r="G19" s="177">
        <v>0.05</v>
      </c>
      <c r="H19" s="177">
        <v>27</v>
      </c>
    </row>
    <row r="20" spans="1:10">
      <c r="A20" s="177">
        <v>5</v>
      </c>
      <c r="B20" s="177">
        <v>5</v>
      </c>
      <c r="C20" s="177">
        <v>2.4</v>
      </c>
      <c r="D20" s="177">
        <v>0.34</v>
      </c>
      <c r="E20" s="177">
        <v>34.6</v>
      </c>
      <c r="F20" s="177">
        <v>0.22</v>
      </c>
      <c r="G20" s="177">
        <v>0.03</v>
      </c>
      <c r="H20" s="177">
        <v>34.299999999999997</v>
      </c>
    </row>
    <row r="21" spans="1:10">
      <c r="A21" s="372" t="s">
        <v>873</v>
      </c>
      <c r="B21" s="372"/>
      <c r="C21" s="372"/>
      <c r="D21" s="372"/>
      <c r="E21" s="372"/>
      <c r="F21" s="372"/>
      <c r="G21" s="372"/>
      <c r="H21" s="372"/>
    </row>
    <row r="22" spans="1:10">
      <c r="A22" s="177">
        <v>1.3</v>
      </c>
      <c r="B22" s="177">
        <v>8</v>
      </c>
      <c r="C22" s="177">
        <v>11.4</v>
      </c>
      <c r="D22" s="177">
        <v>1.57</v>
      </c>
      <c r="E22" s="177">
        <v>23.8</v>
      </c>
      <c r="F22" s="177">
        <v>0.36</v>
      </c>
      <c r="G22" s="177">
        <v>0.05</v>
      </c>
      <c r="H22" s="177">
        <v>23.3</v>
      </c>
      <c r="J22" s="177">
        <f>C22*12/44*2/1000000*24</f>
        <v>1.4923636363636366E-4</v>
      </c>
    </row>
    <row r="23" spans="1:10">
      <c r="A23" s="177">
        <v>2.2000000000000002</v>
      </c>
      <c r="B23" s="177">
        <v>5</v>
      </c>
      <c r="C23" s="177">
        <v>3.9</v>
      </c>
      <c r="D23" s="177">
        <v>0.71</v>
      </c>
      <c r="E23" s="177">
        <v>31.5</v>
      </c>
      <c r="F23" s="177">
        <v>0.2</v>
      </c>
      <c r="G23" s="177">
        <v>0.04</v>
      </c>
      <c r="H23" s="177">
        <v>33.299999999999997</v>
      </c>
      <c r="J23" s="177">
        <f>C23*12/44*2/1000000*24</f>
        <v>5.1054545454545452E-5</v>
      </c>
    </row>
    <row r="24" spans="1:10">
      <c r="A24" s="177">
        <v>3.2</v>
      </c>
      <c r="B24" s="177">
        <v>7</v>
      </c>
      <c r="C24" s="177">
        <v>1.9</v>
      </c>
      <c r="D24" s="177">
        <v>0.28999999999999998</v>
      </c>
      <c r="E24" s="177">
        <v>26.3</v>
      </c>
      <c r="F24" s="177">
        <v>0.14000000000000001</v>
      </c>
      <c r="G24" s="177">
        <v>0.02</v>
      </c>
      <c r="H24" s="177">
        <v>28.6</v>
      </c>
      <c r="J24" s="177">
        <f>C24*12/44*2/1000000*24</f>
        <v>2.4872727272727266E-5</v>
      </c>
    </row>
    <row r="26" spans="1:10">
      <c r="A26" s="178" t="s">
        <v>142</v>
      </c>
    </row>
    <row r="27" spans="1:10">
      <c r="A27" s="235" t="s">
        <v>1246</v>
      </c>
    </row>
    <row r="28" spans="1:10">
      <c r="A28" s="235"/>
    </row>
    <row r="29" spans="1:10">
      <c r="A29" s="235" t="s">
        <v>1247</v>
      </c>
    </row>
    <row r="30" spans="1:10">
      <c r="A30" s="235"/>
    </row>
    <row r="31" spans="1:10">
      <c r="A31" s="236" t="s">
        <v>1248</v>
      </c>
    </row>
    <row r="32" spans="1:10">
      <c r="A32" s="366" t="s">
        <v>1249</v>
      </c>
      <c r="B32" s="368" t="s">
        <v>1250</v>
      </c>
      <c r="C32" s="369"/>
      <c r="D32" s="370" t="s">
        <v>1251</v>
      </c>
      <c r="E32" s="371"/>
      <c r="F32" s="368" t="s">
        <v>1250</v>
      </c>
      <c r="G32" s="369"/>
      <c r="H32" s="370" t="s">
        <v>1251</v>
      </c>
      <c r="I32" s="371"/>
    </row>
    <row r="33" spans="1:9">
      <c r="A33" s="367"/>
      <c r="B33" s="237" t="s">
        <v>1252</v>
      </c>
      <c r="C33" s="238" t="s">
        <v>1111</v>
      </c>
      <c r="D33" s="238" t="s">
        <v>1252</v>
      </c>
      <c r="E33" s="239" t="s">
        <v>1111</v>
      </c>
      <c r="F33" s="237" t="s">
        <v>1252</v>
      </c>
      <c r="G33" s="238" t="s">
        <v>1111</v>
      </c>
      <c r="H33" s="238" t="s">
        <v>1252</v>
      </c>
      <c r="I33" s="239" t="s">
        <v>1111</v>
      </c>
    </row>
    <row r="34" spans="1:9">
      <c r="A34" s="240"/>
      <c r="B34" s="378" t="s">
        <v>871</v>
      </c>
      <c r="C34" s="374"/>
      <c r="D34" s="374"/>
      <c r="E34" s="379"/>
      <c r="F34" s="378" t="s">
        <v>873</v>
      </c>
      <c r="G34" s="374"/>
      <c r="H34" s="374"/>
      <c r="I34" s="379"/>
    </row>
    <row r="35" spans="1:9">
      <c r="A35" s="241" t="s">
        <v>285</v>
      </c>
      <c r="B35" s="242"/>
      <c r="E35" s="243"/>
      <c r="F35" s="242"/>
      <c r="I35" s="243"/>
    </row>
    <row r="36" spans="1:9">
      <c r="A36" s="241" t="s">
        <v>1253</v>
      </c>
      <c r="B36" s="242">
        <v>7.3</v>
      </c>
      <c r="C36" s="177">
        <v>49</v>
      </c>
      <c r="D36" s="177">
        <v>2.2000000000000002</v>
      </c>
      <c r="E36" s="243">
        <v>47</v>
      </c>
      <c r="F36" s="242">
        <v>10.1</v>
      </c>
      <c r="G36" s="177">
        <v>67</v>
      </c>
      <c r="H36" s="177">
        <v>3.5</v>
      </c>
      <c r="I36" s="243">
        <v>65</v>
      </c>
    </row>
    <row r="37" spans="1:9">
      <c r="A37" s="241" t="s">
        <v>1254</v>
      </c>
      <c r="B37" s="242">
        <v>4</v>
      </c>
      <c r="C37" s="177">
        <v>27</v>
      </c>
      <c r="D37" s="177">
        <v>1.3</v>
      </c>
      <c r="E37" s="243">
        <v>28</v>
      </c>
      <c r="F37" s="242">
        <v>2.9</v>
      </c>
      <c r="G37" s="177">
        <v>19</v>
      </c>
      <c r="H37" s="177">
        <v>1.1000000000000001</v>
      </c>
      <c r="I37" s="243">
        <v>20</v>
      </c>
    </row>
    <row r="38" spans="1:9">
      <c r="A38" s="241" t="s">
        <v>1255</v>
      </c>
      <c r="B38" s="242">
        <v>1.5</v>
      </c>
      <c r="C38" s="177">
        <v>10</v>
      </c>
      <c r="D38" s="177">
        <v>0.5</v>
      </c>
      <c r="E38" s="243">
        <v>10</v>
      </c>
      <c r="F38" s="242">
        <v>0.9</v>
      </c>
      <c r="G38" s="177">
        <v>6</v>
      </c>
      <c r="H38" s="177">
        <v>0.3</v>
      </c>
      <c r="I38" s="243">
        <v>6</v>
      </c>
    </row>
    <row r="39" spans="1:9">
      <c r="A39" s="241" t="s">
        <v>1256</v>
      </c>
      <c r="B39" s="242">
        <v>2.1</v>
      </c>
      <c r="C39" s="177">
        <v>15</v>
      </c>
      <c r="D39" s="177">
        <v>0.7</v>
      </c>
      <c r="E39" s="243">
        <v>15</v>
      </c>
      <c r="F39" s="242">
        <v>1.2</v>
      </c>
      <c r="G39" s="177">
        <v>8</v>
      </c>
      <c r="H39" s="177">
        <v>0.5</v>
      </c>
      <c r="I39" s="243">
        <v>9</v>
      </c>
    </row>
    <row r="40" spans="1:9">
      <c r="A40" s="241" t="s">
        <v>1257</v>
      </c>
      <c r="B40" s="242">
        <v>14.9</v>
      </c>
      <c r="C40" s="177">
        <v>100</v>
      </c>
      <c r="D40" s="177">
        <v>4.7</v>
      </c>
      <c r="E40" s="243">
        <v>100</v>
      </c>
      <c r="F40" s="242">
        <v>15.1</v>
      </c>
      <c r="G40" s="177">
        <v>100</v>
      </c>
      <c r="H40" s="177">
        <v>5.4</v>
      </c>
      <c r="I40" s="243">
        <v>100</v>
      </c>
    </row>
    <row r="41" spans="1:9">
      <c r="A41" s="240"/>
      <c r="B41" s="242"/>
      <c r="E41" s="243"/>
      <c r="F41" s="242"/>
      <c r="I41" s="243"/>
    </row>
    <row r="42" spans="1:9">
      <c r="A42" s="241" t="s">
        <v>1258</v>
      </c>
      <c r="B42" s="242"/>
      <c r="E42" s="243"/>
      <c r="F42" s="242"/>
      <c r="I42" s="243"/>
    </row>
    <row r="43" spans="1:9">
      <c r="A43" s="241" t="s">
        <v>1259</v>
      </c>
      <c r="B43" s="242">
        <v>8.3000000000000007</v>
      </c>
      <c r="C43" s="177">
        <v>23</v>
      </c>
      <c r="D43" s="177">
        <v>2.9</v>
      </c>
      <c r="E43" s="243">
        <v>20</v>
      </c>
      <c r="F43" s="242">
        <v>14.6</v>
      </c>
      <c r="G43" s="177">
        <v>38</v>
      </c>
      <c r="H43" s="177">
        <v>6.6</v>
      </c>
      <c r="I43" s="243">
        <v>32</v>
      </c>
    </row>
    <row r="44" spans="1:9">
      <c r="A44" s="241" t="s">
        <v>1260</v>
      </c>
      <c r="B44" s="242">
        <v>7.3</v>
      </c>
      <c r="C44" s="177">
        <v>20</v>
      </c>
      <c r="D44" s="177">
        <v>2.8</v>
      </c>
      <c r="E44" s="243">
        <v>19</v>
      </c>
      <c r="F44" s="242">
        <v>6.9</v>
      </c>
      <c r="G44" s="177">
        <v>18</v>
      </c>
      <c r="H44" s="177">
        <v>3.3</v>
      </c>
      <c r="I44" s="243">
        <v>16</v>
      </c>
    </row>
    <row r="45" spans="1:9">
      <c r="A45" s="241" t="s">
        <v>1261</v>
      </c>
      <c r="B45" s="242">
        <v>6.4</v>
      </c>
      <c r="C45" s="177">
        <v>18</v>
      </c>
      <c r="D45" s="177">
        <v>2.8</v>
      </c>
      <c r="E45" s="243">
        <v>19</v>
      </c>
      <c r="F45" s="242">
        <v>7.5</v>
      </c>
      <c r="G45" s="177">
        <v>19</v>
      </c>
      <c r="H45" s="177">
        <v>4.5</v>
      </c>
      <c r="I45" s="243">
        <v>22</v>
      </c>
    </row>
    <row r="46" spans="1:9">
      <c r="A46" s="241" t="s">
        <v>1262</v>
      </c>
      <c r="B46" s="242">
        <v>14.2</v>
      </c>
      <c r="C46" s="177">
        <v>39</v>
      </c>
      <c r="D46" s="177">
        <v>6.3</v>
      </c>
      <c r="E46" s="243">
        <v>42</v>
      </c>
      <c r="F46" s="242">
        <v>9.6999999999999993</v>
      </c>
      <c r="G46" s="177">
        <v>25</v>
      </c>
      <c r="H46" s="177">
        <v>6</v>
      </c>
      <c r="I46" s="243">
        <v>30</v>
      </c>
    </row>
    <row r="47" spans="1:9">
      <c r="A47" s="241" t="s">
        <v>1257</v>
      </c>
      <c r="B47" s="242">
        <v>36.200000000000003</v>
      </c>
      <c r="C47" s="177">
        <v>100</v>
      </c>
      <c r="D47" s="177">
        <v>14.8</v>
      </c>
      <c r="E47" s="243">
        <v>100</v>
      </c>
      <c r="F47" s="242">
        <v>38.700000000000003</v>
      </c>
      <c r="G47" s="177">
        <v>100</v>
      </c>
      <c r="H47" s="177">
        <v>20.399999999999999</v>
      </c>
      <c r="I47" s="243">
        <v>100</v>
      </c>
    </row>
    <row r="48" spans="1:9">
      <c r="A48" s="240"/>
      <c r="B48" s="242"/>
      <c r="E48" s="243"/>
      <c r="F48" s="242"/>
      <c r="I48" s="243"/>
    </row>
    <row r="49" spans="1:9">
      <c r="A49" s="241" t="s">
        <v>1263</v>
      </c>
      <c r="B49" s="242">
        <v>20.100000000000001</v>
      </c>
      <c r="D49" s="177">
        <v>11.4</v>
      </c>
      <c r="E49" s="243"/>
      <c r="F49" s="242">
        <v>14.5</v>
      </c>
      <c r="H49" s="177">
        <v>8.9</v>
      </c>
      <c r="I49" s="243"/>
    </row>
    <row r="50" spans="1:9">
      <c r="A50" s="240"/>
      <c r="B50" s="242"/>
      <c r="E50" s="243"/>
      <c r="F50" s="242"/>
      <c r="I50" s="243"/>
    </row>
    <row r="51" spans="1:9">
      <c r="A51" s="244" t="s">
        <v>1508</v>
      </c>
      <c r="B51" s="245">
        <v>71.2</v>
      </c>
      <c r="C51" s="227"/>
      <c r="D51" s="227">
        <v>30.9</v>
      </c>
      <c r="E51" s="246"/>
      <c r="F51" s="245">
        <v>68.3</v>
      </c>
      <c r="G51" s="227"/>
      <c r="H51" s="227">
        <v>34.700000000000003</v>
      </c>
      <c r="I51" s="246"/>
    </row>
    <row r="53" spans="1:9">
      <c r="A53" s="236" t="s">
        <v>1264</v>
      </c>
    </row>
    <row r="54" spans="1:9">
      <c r="A54" s="380" t="s">
        <v>145</v>
      </c>
      <c r="B54" s="375" t="s">
        <v>1239</v>
      </c>
      <c r="C54" s="375" t="s">
        <v>1240</v>
      </c>
      <c r="D54" s="377" t="s">
        <v>1265</v>
      </c>
      <c r="E54" s="376"/>
      <c r="F54" s="374" t="s">
        <v>1241</v>
      </c>
      <c r="G54" s="374"/>
      <c r="H54" s="374"/>
    </row>
    <row r="55" spans="1:9">
      <c r="A55" s="376"/>
      <c r="B55" s="376"/>
      <c r="C55" s="376"/>
      <c r="D55" s="373" t="s">
        <v>1266</v>
      </c>
      <c r="E55" s="374"/>
      <c r="F55" s="373" t="s">
        <v>1243</v>
      </c>
      <c r="G55" s="374"/>
      <c r="H55" s="374"/>
    </row>
    <row r="56" spans="1:9" ht="25.5">
      <c r="A56" s="376"/>
      <c r="B56" s="376"/>
      <c r="C56" s="376"/>
      <c r="D56" s="178" t="s">
        <v>1244</v>
      </c>
      <c r="E56" s="178" t="s">
        <v>1126</v>
      </c>
      <c r="F56" s="178" t="s">
        <v>1244</v>
      </c>
      <c r="G56" s="178" t="s">
        <v>1126</v>
      </c>
      <c r="H56" s="184" t="s">
        <v>1245</v>
      </c>
    </row>
    <row r="57" spans="1:9">
      <c r="A57" s="372" t="s">
        <v>1267</v>
      </c>
      <c r="B57" s="372"/>
      <c r="C57" s="372"/>
      <c r="D57" s="372"/>
      <c r="E57" s="372"/>
      <c r="F57" s="372"/>
      <c r="G57" s="372"/>
      <c r="H57" s="372"/>
    </row>
    <row r="58" spans="1:9">
      <c r="A58" s="178" t="s">
        <v>871</v>
      </c>
      <c r="B58" s="177">
        <v>1.4</v>
      </c>
      <c r="C58" s="177">
        <v>8</v>
      </c>
      <c r="D58" s="177">
        <v>14.9</v>
      </c>
      <c r="E58" s="177">
        <v>0.41</v>
      </c>
      <c r="F58" s="177">
        <v>0.43</v>
      </c>
      <c r="G58" s="177">
        <v>0.05</v>
      </c>
      <c r="H58" s="177">
        <v>30.2</v>
      </c>
    </row>
    <row r="59" spans="1:9">
      <c r="A59" s="178" t="s">
        <v>871</v>
      </c>
      <c r="B59" s="177">
        <v>2</v>
      </c>
      <c r="C59" s="177">
        <v>13</v>
      </c>
      <c r="D59" s="177">
        <v>14.3</v>
      </c>
      <c r="E59" s="177">
        <v>0.35</v>
      </c>
      <c r="F59" s="177">
        <v>0.56000000000000005</v>
      </c>
      <c r="G59" s="177">
        <v>0.05</v>
      </c>
      <c r="H59" s="177">
        <v>27</v>
      </c>
    </row>
    <row r="60" spans="1:9">
      <c r="A60" s="178" t="s">
        <v>871</v>
      </c>
      <c r="B60" s="177">
        <v>5</v>
      </c>
      <c r="C60" s="177">
        <v>5</v>
      </c>
      <c r="D60" s="177">
        <v>15.2</v>
      </c>
      <c r="E60" s="177">
        <v>0.41</v>
      </c>
      <c r="F60" s="177">
        <v>0.22</v>
      </c>
      <c r="G60" s="177">
        <v>0.03</v>
      </c>
      <c r="H60" s="177">
        <v>34.299999999999997</v>
      </c>
    </row>
    <row r="61" spans="1:9">
      <c r="A61" s="178" t="s">
        <v>873</v>
      </c>
      <c r="B61" s="177">
        <v>1.3</v>
      </c>
      <c r="C61" s="177">
        <v>8</v>
      </c>
      <c r="D61" s="177">
        <v>14.9</v>
      </c>
      <c r="E61" s="177">
        <v>0.41</v>
      </c>
      <c r="F61" s="177">
        <v>0.36</v>
      </c>
      <c r="G61" s="177">
        <v>0.05</v>
      </c>
      <c r="H61" s="177">
        <v>23.3</v>
      </c>
    </row>
    <row r="62" spans="1:9">
      <c r="A62" s="178" t="s">
        <v>873</v>
      </c>
      <c r="B62" s="177">
        <v>2.2000000000000002</v>
      </c>
      <c r="C62" s="177">
        <v>5</v>
      </c>
      <c r="D62" s="177">
        <v>15.2</v>
      </c>
      <c r="E62" s="177">
        <v>0.41</v>
      </c>
      <c r="F62" s="177">
        <v>0.2</v>
      </c>
      <c r="G62" s="177">
        <v>0.04</v>
      </c>
      <c r="H62" s="177">
        <v>33.299999999999997</v>
      </c>
    </row>
    <row r="63" spans="1:9">
      <c r="A63" s="178" t="s">
        <v>873</v>
      </c>
      <c r="B63" s="177">
        <v>3.2</v>
      </c>
      <c r="C63" s="177">
        <v>7</v>
      </c>
      <c r="D63" s="177">
        <v>15</v>
      </c>
      <c r="E63" s="177">
        <v>0.41</v>
      </c>
      <c r="F63" s="177">
        <v>0.14000000000000001</v>
      </c>
      <c r="G63" s="177">
        <v>0.02</v>
      </c>
      <c r="H63" s="177">
        <v>28.6</v>
      </c>
    </row>
    <row r="64" spans="1:9">
      <c r="A64" s="372" t="s">
        <v>1268</v>
      </c>
      <c r="B64" s="372"/>
      <c r="C64" s="372"/>
      <c r="D64" s="372"/>
      <c r="E64" s="372"/>
      <c r="F64" s="372"/>
      <c r="G64" s="372"/>
      <c r="H64" s="372"/>
    </row>
    <row r="65" spans="1:12">
      <c r="A65" s="178" t="s">
        <v>871</v>
      </c>
      <c r="B65" s="177">
        <v>1.4</v>
      </c>
      <c r="C65" s="177">
        <v>8</v>
      </c>
      <c r="D65" s="177">
        <v>16.7</v>
      </c>
      <c r="E65" s="177">
        <v>0.13</v>
      </c>
      <c r="F65" s="177">
        <v>0.41</v>
      </c>
      <c r="G65" s="177">
        <v>0.03</v>
      </c>
      <c r="H65" s="177">
        <v>19.399999999999999</v>
      </c>
    </row>
    <row r="66" spans="1:12">
      <c r="A66" s="178" t="s">
        <v>871</v>
      </c>
      <c r="B66" s="177">
        <v>2.6</v>
      </c>
      <c r="C66" s="177">
        <v>5</v>
      </c>
      <c r="D66" s="177">
        <v>17.399999999999999</v>
      </c>
      <c r="E66" s="177">
        <v>0.19</v>
      </c>
      <c r="F66" s="177">
        <v>0.32</v>
      </c>
      <c r="G66" s="177">
        <v>0.02</v>
      </c>
      <c r="H66" s="177">
        <v>10.7</v>
      </c>
    </row>
    <row r="67" spans="1:12">
      <c r="A67" s="372" t="s">
        <v>1269</v>
      </c>
      <c r="B67" s="372"/>
      <c r="C67" s="372"/>
      <c r="D67" s="372"/>
      <c r="E67" s="372"/>
      <c r="F67" s="372"/>
      <c r="G67" s="372"/>
      <c r="H67" s="372"/>
    </row>
    <row r="68" spans="1:12">
      <c r="A68" s="178" t="s">
        <v>873</v>
      </c>
      <c r="B68" s="177">
        <v>1.4</v>
      </c>
      <c r="C68" s="177">
        <v>6</v>
      </c>
      <c r="D68" s="177">
        <v>20.7</v>
      </c>
      <c r="E68" s="177">
        <v>3.9E-2</v>
      </c>
      <c r="F68" s="177">
        <v>0.28999999999999998</v>
      </c>
      <c r="G68" s="177">
        <v>0.02</v>
      </c>
      <c r="H68" s="177">
        <v>18.7</v>
      </c>
    </row>
    <row r="69" spans="1:12">
      <c r="A69" s="178" t="s">
        <v>873</v>
      </c>
      <c r="B69" s="177">
        <v>2.8</v>
      </c>
      <c r="C69" s="177">
        <v>6</v>
      </c>
      <c r="D69" s="177">
        <v>20.7</v>
      </c>
      <c r="E69" s="177">
        <v>0.39</v>
      </c>
      <c r="F69" s="177">
        <v>0.19</v>
      </c>
      <c r="G69" s="177">
        <v>0.01</v>
      </c>
      <c r="H69" s="177">
        <v>7.9</v>
      </c>
    </row>
    <row r="71" spans="1:12">
      <c r="A71" s="236" t="s">
        <v>1270</v>
      </c>
    </row>
    <row r="72" spans="1:12">
      <c r="A72" s="374" t="s">
        <v>145</v>
      </c>
      <c r="B72" s="373" t="s">
        <v>1271</v>
      </c>
      <c r="C72" s="373"/>
      <c r="D72" s="373" t="s">
        <v>1272</v>
      </c>
      <c r="E72" s="376"/>
      <c r="F72" s="376"/>
      <c r="G72" s="376"/>
      <c r="H72" s="376"/>
      <c r="I72" s="376"/>
      <c r="J72" s="380" t="s">
        <v>1273</v>
      </c>
    </row>
    <row r="73" spans="1:12">
      <c r="A73" s="374"/>
      <c r="B73" s="178" t="s">
        <v>1274</v>
      </c>
      <c r="C73" s="178" t="s">
        <v>1243</v>
      </c>
      <c r="D73" s="373" t="s">
        <v>1275</v>
      </c>
      <c r="E73" s="374"/>
      <c r="F73" s="374"/>
      <c r="G73" s="373" t="s">
        <v>1276</v>
      </c>
      <c r="H73" s="374"/>
      <c r="I73" s="374"/>
      <c r="J73" s="376"/>
    </row>
    <row r="74" spans="1:12">
      <c r="A74" s="374"/>
      <c r="D74" s="218" t="s">
        <v>80</v>
      </c>
      <c r="E74" s="218" t="s">
        <v>1277</v>
      </c>
      <c r="F74" s="218" t="s">
        <v>1278</v>
      </c>
      <c r="G74" s="218" t="s">
        <v>80</v>
      </c>
      <c r="H74" s="218" t="s">
        <v>1277</v>
      </c>
      <c r="I74" s="218" t="s">
        <v>1278</v>
      </c>
      <c r="J74" s="376"/>
    </row>
    <row r="75" spans="1:12">
      <c r="A75" s="372" t="s">
        <v>1279</v>
      </c>
      <c r="B75" s="376"/>
      <c r="C75" s="376"/>
      <c r="D75" s="376"/>
      <c r="E75" s="376"/>
      <c r="F75" s="376"/>
      <c r="G75" s="376"/>
      <c r="H75" s="376"/>
      <c r="I75" s="376"/>
      <c r="J75" s="376"/>
      <c r="L75" s="178" t="s">
        <v>1280</v>
      </c>
    </row>
    <row r="76" spans="1:12">
      <c r="A76" s="178" t="s">
        <v>871</v>
      </c>
      <c r="B76" s="177">
        <v>1.9</v>
      </c>
      <c r="C76" s="177">
        <v>5.0999999999999996</v>
      </c>
      <c r="D76" s="177">
        <v>4</v>
      </c>
      <c r="E76" s="177">
        <v>10</v>
      </c>
      <c r="F76" s="177">
        <v>86</v>
      </c>
      <c r="G76" s="177">
        <v>8</v>
      </c>
      <c r="H76" s="177">
        <v>8</v>
      </c>
      <c r="I76" s="177">
        <v>84</v>
      </c>
      <c r="J76" s="177">
        <v>4</v>
      </c>
      <c r="L76" s="177">
        <f>B76*12/44*2/1000*24</f>
        <v>2.4872727272727265E-2</v>
      </c>
    </row>
    <row r="77" spans="1:12">
      <c r="A77" s="178" t="s">
        <v>873</v>
      </c>
      <c r="B77" s="177">
        <v>1.1000000000000001</v>
      </c>
      <c r="C77" s="177">
        <v>2.5</v>
      </c>
      <c r="D77" s="177">
        <v>4</v>
      </c>
      <c r="E77" s="177">
        <v>16</v>
      </c>
      <c r="F77" s="177">
        <v>80</v>
      </c>
      <c r="G77" s="177">
        <v>9</v>
      </c>
      <c r="H77" s="177">
        <v>11</v>
      </c>
      <c r="I77" s="177">
        <v>80</v>
      </c>
      <c r="J77" s="177">
        <v>4</v>
      </c>
      <c r="L77" s="177">
        <f>B77*12/44*2/1000*24</f>
        <v>1.4400000000000001E-2</v>
      </c>
    </row>
    <row r="78" spans="1:12">
      <c r="A78" s="372" t="s">
        <v>1281</v>
      </c>
      <c r="B78" s="376"/>
      <c r="C78" s="376"/>
      <c r="D78" s="376"/>
      <c r="E78" s="376"/>
      <c r="F78" s="376"/>
      <c r="G78" s="376"/>
      <c r="H78" s="376"/>
      <c r="I78" s="376"/>
      <c r="J78" s="376"/>
    </row>
    <row r="79" spans="1:12">
      <c r="A79" s="178" t="s">
        <v>873</v>
      </c>
      <c r="B79" s="177">
        <v>2.6</v>
      </c>
      <c r="C79" s="177">
        <v>6.8</v>
      </c>
      <c r="D79" s="177">
        <v>8</v>
      </c>
      <c r="E79" s="177">
        <v>14</v>
      </c>
      <c r="F79" s="177">
        <v>78</v>
      </c>
      <c r="G79" s="177">
        <v>20</v>
      </c>
      <c r="H79" s="177">
        <v>10</v>
      </c>
      <c r="I79" s="177">
        <v>70</v>
      </c>
      <c r="J79" s="177">
        <v>5</v>
      </c>
      <c r="L79" s="177">
        <f>B79*12/44*2/1000*24</f>
        <v>3.4036363636363635E-2</v>
      </c>
    </row>
    <row r="81" spans="1:11">
      <c r="A81" s="176" t="s">
        <v>1282</v>
      </c>
    </row>
    <row r="82" spans="1:11" ht="12.75" customHeight="1">
      <c r="A82" s="377" t="s">
        <v>1283</v>
      </c>
      <c r="B82" s="377" t="s">
        <v>1284</v>
      </c>
      <c r="C82" s="373" t="s">
        <v>1285</v>
      </c>
      <c r="D82" s="374"/>
      <c r="E82" s="373" t="s">
        <v>1286</v>
      </c>
      <c r="F82" s="374"/>
      <c r="G82" s="377" t="s">
        <v>1284</v>
      </c>
      <c r="H82" s="373" t="s">
        <v>1285</v>
      </c>
      <c r="I82" s="374"/>
      <c r="J82" s="373" t="s">
        <v>1286</v>
      </c>
      <c r="K82" s="374"/>
    </row>
    <row r="83" spans="1:11">
      <c r="A83" s="381"/>
      <c r="B83" s="381"/>
      <c r="C83" s="218" t="s">
        <v>1242</v>
      </c>
      <c r="D83" s="178" t="s">
        <v>1287</v>
      </c>
      <c r="E83" s="218" t="s">
        <v>1242</v>
      </c>
      <c r="F83" s="178" t="s">
        <v>1287</v>
      </c>
      <c r="G83" s="381"/>
      <c r="H83" s="218" t="s">
        <v>1242</v>
      </c>
      <c r="I83" s="178" t="s">
        <v>1287</v>
      </c>
      <c r="J83" s="218" t="s">
        <v>1242</v>
      </c>
      <c r="K83" s="178" t="s">
        <v>1287</v>
      </c>
    </row>
    <row r="84" spans="1:11">
      <c r="A84" s="247"/>
      <c r="B84" s="377" t="s">
        <v>1279</v>
      </c>
      <c r="C84" s="376"/>
      <c r="D84" s="376"/>
      <c r="E84" s="376"/>
      <c r="F84" s="376"/>
      <c r="G84" s="377" t="s">
        <v>1281</v>
      </c>
      <c r="H84" s="376"/>
      <c r="I84" s="376"/>
      <c r="J84" s="376"/>
      <c r="K84" s="376"/>
    </row>
    <row r="85" spans="1:11">
      <c r="A85" s="178" t="s">
        <v>285</v>
      </c>
    </row>
    <row r="86" spans="1:11">
      <c r="A86" s="178" t="s">
        <v>1288</v>
      </c>
      <c r="B86" s="177">
        <v>14.9</v>
      </c>
      <c r="C86" s="177">
        <v>510</v>
      </c>
      <c r="D86" s="177">
        <v>7.61</v>
      </c>
      <c r="E86" s="177">
        <v>1288</v>
      </c>
      <c r="F86" s="177">
        <v>19.190000000000001</v>
      </c>
      <c r="G86" s="177">
        <v>15.1</v>
      </c>
      <c r="H86" s="177">
        <v>665</v>
      </c>
      <c r="I86" s="177">
        <v>10.039999999999999</v>
      </c>
      <c r="J86" s="177">
        <v>1687</v>
      </c>
      <c r="K86" s="177">
        <v>25.48</v>
      </c>
    </row>
    <row r="87" spans="1:11">
      <c r="A87" s="178" t="s">
        <v>1258</v>
      </c>
    </row>
    <row r="88" spans="1:11">
      <c r="A88" s="226" t="s">
        <v>1289</v>
      </c>
      <c r="B88" s="177">
        <v>8.3000000000000007</v>
      </c>
      <c r="C88" s="177">
        <v>21</v>
      </c>
      <c r="D88" s="177">
        <v>0.17</v>
      </c>
      <c r="E88" s="177">
        <v>42</v>
      </c>
      <c r="F88" s="177">
        <v>0.35</v>
      </c>
      <c r="G88" s="177">
        <v>14.6</v>
      </c>
      <c r="H88" s="177">
        <v>19</v>
      </c>
      <c r="I88" s="177">
        <v>0.27</v>
      </c>
      <c r="J88" s="177">
        <v>37</v>
      </c>
      <c r="K88" s="177">
        <v>0.54</v>
      </c>
    </row>
    <row r="89" spans="1:11">
      <c r="A89" s="226" t="s">
        <v>1290</v>
      </c>
      <c r="B89" s="177">
        <v>7.3</v>
      </c>
      <c r="C89" s="177">
        <v>10</v>
      </c>
      <c r="D89" s="177">
        <v>0.08</v>
      </c>
      <c r="E89" s="177">
        <v>19</v>
      </c>
      <c r="F89" s="177">
        <v>0.14000000000000001</v>
      </c>
      <c r="G89" s="177">
        <v>6.9</v>
      </c>
      <c r="H89" s="177">
        <v>9</v>
      </c>
      <c r="I89" s="177">
        <v>0.06</v>
      </c>
      <c r="J89" s="177">
        <v>17</v>
      </c>
      <c r="K89" s="177">
        <v>0.12</v>
      </c>
    </row>
    <row r="90" spans="1:11">
      <c r="A90" s="226" t="s">
        <v>1291</v>
      </c>
      <c r="B90" s="177">
        <v>6.4</v>
      </c>
      <c r="C90" s="177">
        <v>8</v>
      </c>
      <c r="D90" s="177">
        <v>0.05</v>
      </c>
      <c r="E90" s="177">
        <v>14</v>
      </c>
      <c r="F90" s="177">
        <v>0.09</v>
      </c>
      <c r="G90" s="177">
        <v>7.5</v>
      </c>
      <c r="H90" s="177">
        <v>7</v>
      </c>
      <c r="I90" s="177">
        <v>0.05</v>
      </c>
      <c r="J90" s="177">
        <v>11</v>
      </c>
      <c r="K90" s="177">
        <v>0.08</v>
      </c>
    </row>
    <row r="91" spans="1:11">
      <c r="A91" s="226" t="s">
        <v>1292</v>
      </c>
      <c r="B91" s="177">
        <v>14.2</v>
      </c>
      <c r="C91" s="177">
        <v>3</v>
      </c>
      <c r="D91" s="177">
        <v>0.04</v>
      </c>
      <c r="E91" s="177">
        <v>6</v>
      </c>
      <c r="F91" s="177">
        <v>0.08</v>
      </c>
      <c r="G91" s="177">
        <v>9.6999999999999993</v>
      </c>
      <c r="H91" s="177">
        <v>3</v>
      </c>
      <c r="I91" s="177">
        <v>0.03</v>
      </c>
      <c r="J91" s="177">
        <v>6</v>
      </c>
      <c r="K91" s="177">
        <v>0.05</v>
      </c>
    </row>
    <row r="92" spans="1:11">
      <c r="A92" s="226" t="s">
        <v>1263</v>
      </c>
      <c r="B92" s="177">
        <v>20.100000000000001</v>
      </c>
      <c r="C92" s="177">
        <v>2</v>
      </c>
      <c r="D92" s="177">
        <v>0.05</v>
      </c>
      <c r="E92" s="177">
        <v>3</v>
      </c>
      <c r="F92" s="177">
        <v>0.06</v>
      </c>
      <c r="G92" s="177">
        <v>14.5</v>
      </c>
      <c r="H92" s="177">
        <v>2</v>
      </c>
      <c r="I92" s="177">
        <v>0.03</v>
      </c>
      <c r="J92" s="177">
        <v>3</v>
      </c>
      <c r="K92" s="177">
        <v>0.05</v>
      </c>
    </row>
    <row r="94" spans="1:11" ht="25.5">
      <c r="A94" s="184" t="s">
        <v>1293</v>
      </c>
      <c r="B94" s="177">
        <v>56.3</v>
      </c>
      <c r="D94" s="177">
        <v>0.39</v>
      </c>
      <c r="F94" s="177">
        <v>0.72</v>
      </c>
      <c r="G94" s="177">
        <v>53.2</v>
      </c>
      <c r="I94" s="177">
        <v>0.44</v>
      </c>
      <c r="K94" s="177">
        <v>0.84</v>
      </c>
    </row>
    <row r="95" spans="1:11">
      <c r="A95" s="178" t="s">
        <v>1508</v>
      </c>
      <c r="B95" s="177">
        <v>71.2</v>
      </c>
      <c r="D95" s="177">
        <v>8</v>
      </c>
      <c r="F95" s="177">
        <v>19.91</v>
      </c>
      <c r="G95" s="177">
        <v>68.3</v>
      </c>
      <c r="I95" s="177">
        <v>10.48</v>
      </c>
      <c r="K95" s="177">
        <v>26.32</v>
      </c>
    </row>
    <row r="97" spans="1:10" ht="25.5">
      <c r="A97" s="184" t="s">
        <v>1294</v>
      </c>
      <c r="C97" s="177">
        <v>11.5</v>
      </c>
      <c r="E97" s="177">
        <v>14.9</v>
      </c>
      <c r="H97" s="178">
        <v>12.1</v>
      </c>
      <c r="J97" s="177">
        <v>15.1</v>
      </c>
    </row>
    <row r="99" spans="1:10">
      <c r="A99" s="176" t="s">
        <v>1295</v>
      </c>
    </row>
    <row r="100" spans="1:10">
      <c r="A100" s="373" t="s">
        <v>1296</v>
      </c>
      <c r="B100" s="373" t="s">
        <v>932</v>
      </c>
      <c r="C100" s="374"/>
      <c r="D100" s="374"/>
      <c r="E100" s="374"/>
      <c r="F100" s="374"/>
      <c r="G100" s="374"/>
      <c r="H100" s="373" t="s">
        <v>1297</v>
      </c>
    </row>
    <row r="101" spans="1:10">
      <c r="A101" s="373"/>
      <c r="B101" s="218" t="s">
        <v>936</v>
      </c>
      <c r="C101" s="218" t="s">
        <v>937</v>
      </c>
      <c r="D101" s="218" t="s">
        <v>938</v>
      </c>
      <c r="E101" s="218" t="s">
        <v>939</v>
      </c>
      <c r="F101" s="218" t="s">
        <v>940</v>
      </c>
      <c r="G101" s="218" t="s">
        <v>941</v>
      </c>
      <c r="H101" s="373"/>
    </row>
    <row r="102" spans="1:10">
      <c r="A102" s="372" t="s">
        <v>1298</v>
      </c>
      <c r="B102" s="372"/>
      <c r="C102" s="372"/>
      <c r="D102" s="372"/>
      <c r="E102" s="372"/>
      <c r="F102" s="372"/>
      <c r="G102" s="372"/>
      <c r="H102" s="372"/>
    </row>
    <row r="103" spans="1:10">
      <c r="A103" s="178" t="s">
        <v>285</v>
      </c>
      <c r="B103" s="177">
        <v>894</v>
      </c>
      <c r="C103" s="177">
        <v>2825</v>
      </c>
      <c r="D103" s="177">
        <v>5424</v>
      </c>
      <c r="E103" s="177">
        <v>6941</v>
      </c>
      <c r="F103" s="177">
        <v>3226</v>
      </c>
      <c r="G103" s="177">
        <v>360</v>
      </c>
      <c r="H103" s="177">
        <v>19670</v>
      </c>
      <c r="J103" s="177">
        <f t="shared" ref="J103:J109" si="0">H103*12/44*2</f>
        <v>10729.09090909091</v>
      </c>
    </row>
    <row r="104" spans="1:10">
      <c r="A104" s="178" t="s">
        <v>1258</v>
      </c>
      <c r="B104" s="177">
        <v>56</v>
      </c>
      <c r="C104" s="177">
        <v>154</v>
      </c>
      <c r="D104" s="177">
        <v>258</v>
      </c>
      <c r="E104" s="177">
        <v>276</v>
      </c>
      <c r="F104" s="177">
        <v>120</v>
      </c>
      <c r="G104" s="177">
        <v>36</v>
      </c>
      <c r="H104" s="177">
        <v>900</v>
      </c>
      <c r="J104" s="177">
        <f t="shared" si="0"/>
        <v>490.90909090909093</v>
      </c>
    </row>
    <row r="105" spans="1:10">
      <c r="A105" s="178" t="s">
        <v>1257</v>
      </c>
      <c r="B105" s="177">
        <v>950</v>
      </c>
      <c r="C105" s="177">
        <v>2979</v>
      </c>
      <c r="D105" s="177">
        <v>5682</v>
      </c>
      <c r="E105" s="177">
        <v>7217</v>
      </c>
      <c r="F105" s="177">
        <v>3346</v>
      </c>
      <c r="G105" s="177">
        <v>396</v>
      </c>
      <c r="H105" s="177">
        <v>20570</v>
      </c>
      <c r="J105" s="177">
        <f t="shared" si="0"/>
        <v>11220</v>
      </c>
    </row>
    <row r="106" spans="1:10">
      <c r="A106" s="372" t="s">
        <v>1281</v>
      </c>
      <c r="B106" s="372"/>
      <c r="C106" s="372"/>
      <c r="D106" s="372"/>
      <c r="E106" s="372"/>
      <c r="F106" s="372"/>
      <c r="G106" s="372"/>
      <c r="H106" s="372"/>
      <c r="J106" s="177">
        <f t="shared" si="0"/>
        <v>0</v>
      </c>
    </row>
    <row r="107" spans="1:10">
      <c r="A107" s="178" t="s">
        <v>285</v>
      </c>
      <c r="B107" s="177">
        <v>1127</v>
      </c>
      <c r="C107" s="177">
        <v>4071</v>
      </c>
      <c r="D107" s="177">
        <v>8267</v>
      </c>
      <c r="E107" s="177">
        <v>9709</v>
      </c>
      <c r="F107" s="177">
        <v>5215</v>
      </c>
      <c r="G107" s="177">
        <v>578</v>
      </c>
      <c r="H107" s="177">
        <v>28967</v>
      </c>
      <c r="J107" s="177">
        <f t="shared" si="0"/>
        <v>15800.181818181818</v>
      </c>
    </row>
    <row r="108" spans="1:10">
      <c r="A108" s="178" t="s">
        <v>1258</v>
      </c>
      <c r="B108" s="177">
        <v>69</v>
      </c>
      <c r="C108" s="177">
        <v>203</v>
      </c>
      <c r="D108" s="177">
        <v>334</v>
      </c>
      <c r="E108" s="177">
        <v>321</v>
      </c>
      <c r="F108" s="177">
        <v>155</v>
      </c>
      <c r="G108" s="177">
        <v>51</v>
      </c>
      <c r="H108" s="177">
        <v>1133</v>
      </c>
      <c r="J108" s="177">
        <f t="shared" si="0"/>
        <v>618</v>
      </c>
    </row>
    <row r="109" spans="1:10">
      <c r="A109" s="178" t="s">
        <v>1257</v>
      </c>
      <c r="B109" s="177">
        <v>1196</v>
      </c>
      <c r="C109" s="177">
        <v>4274</v>
      </c>
      <c r="D109" s="177">
        <v>8601</v>
      </c>
      <c r="E109" s="177">
        <v>10030</v>
      </c>
      <c r="F109" s="177">
        <v>5370</v>
      </c>
      <c r="G109" s="177">
        <v>629</v>
      </c>
      <c r="H109" s="177">
        <v>30100</v>
      </c>
      <c r="J109" s="177">
        <f t="shared" si="0"/>
        <v>16418.18181818182</v>
      </c>
    </row>
    <row r="111" spans="1:10">
      <c r="A111" s="178" t="s">
        <v>142</v>
      </c>
    </row>
    <row r="112" spans="1:10">
      <c r="A112" s="235" t="s">
        <v>1299</v>
      </c>
    </row>
    <row r="113" spans="1:1">
      <c r="A113" s="236"/>
    </row>
    <row r="114" spans="1:1">
      <c r="A114" s="236"/>
    </row>
    <row r="115" spans="1:1">
      <c r="A115" s="236"/>
    </row>
    <row r="116" spans="1:1">
      <c r="A116" s="236"/>
    </row>
    <row r="117" spans="1:1">
      <c r="A117" s="236"/>
    </row>
  </sheetData>
  <mergeCells count="46">
    <mergeCell ref="A106:H106"/>
    <mergeCell ref="A102:H102"/>
    <mergeCell ref="B100:G100"/>
    <mergeCell ref="A100:A101"/>
    <mergeCell ref="H100:H101"/>
    <mergeCell ref="G84:K84"/>
    <mergeCell ref="B82:B83"/>
    <mergeCell ref="D54:E54"/>
    <mergeCell ref="A82:A83"/>
    <mergeCell ref="C82:D82"/>
    <mergeCell ref="E82:F82"/>
    <mergeCell ref="B72:C72"/>
    <mergeCell ref="D72:I72"/>
    <mergeCell ref="D73:F73"/>
    <mergeCell ref="G73:I73"/>
    <mergeCell ref="J72:J74"/>
    <mergeCell ref="H82:I82"/>
    <mergeCell ref="J82:K82"/>
    <mergeCell ref="G82:G83"/>
    <mergeCell ref="B84:F84"/>
    <mergeCell ref="A75:J75"/>
    <mergeCell ref="A78:J78"/>
    <mergeCell ref="B54:B56"/>
    <mergeCell ref="C54:C56"/>
    <mergeCell ref="F55:H55"/>
    <mergeCell ref="A72:A74"/>
    <mergeCell ref="A54:A56"/>
    <mergeCell ref="A57:H57"/>
    <mergeCell ref="A64:H64"/>
    <mergeCell ref="A67:H67"/>
    <mergeCell ref="D55:E55"/>
    <mergeCell ref="F54:H54"/>
    <mergeCell ref="A11:A13"/>
    <mergeCell ref="B11:B13"/>
    <mergeCell ref="C11:H11"/>
    <mergeCell ref="C12:E12"/>
    <mergeCell ref="F12:H12"/>
    <mergeCell ref="B34:E34"/>
    <mergeCell ref="F34:I34"/>
    <mergeCell ref="H32:I32"/>
    <mergeCell ref="A32:A33"/>
    <mergeCell ref="B32:C32"/>
    <mergeCell ref="D32:E32"/>
    <mergeCell ref="F32:G32"/>
    <mergeCell ref="A14:H14"/>
    <mergeCell ref="A21:H21"/>
  </mergeCells>
  <pageMargins left="0.78740157480314965" right="0.39370078740157483" top="0.78740157480314965" bottom="0.59055118110236227" header="0.51181102362204722" footer="0.31496062992125984"/>
  <pageSetup paperSize="9" scale="53" fitToHeight="2" orientation="portrait" verticalDpi="300" r:id="rId1"/>
  <headerFooter alignWithMargins="0">
    <oddFooter>&amp;C&amp;A&amp;R&amp;F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2:I27"/>
  <sheetViews>
    <sheetView workbookViewId="0">
      <selection activeCell="A3" sqref="A3"/>
    </sheetView>
  </sheetViews>
  <sheetFormatPr baseColWidth="10" defaultRowHeight="12.75"/>
  <cols>
    <col min="1" max="5" width="11.42578125" style="177"/>
    <col min="6" max="6" width="16.85546875" style="177" customWidth="1"/>
    <col min="7" max="7" width="11.42578125" style="177"/>
    <col min="8" max="8" width="16" style="177" customWidth="1"/>
    <col min="9" max="16384" width="11.42578125" style="177"/>
  </cols>
  <sheetData>
    <row r="2" spans="1:9">
      <c r="A2" s="178" t="s">
        <v>1300</v>
      </c>
    </row>
    <row r="3" spans="1:9">
      <c r="A3" s="178" t="s">
        <v>1301</v>
      </c>
    </row>
    <row r="4" spans="1:9">
      <c r="A4" s="178" t="s">
        <v>1302</v>
      </c>
    </row>
    <row r="6" spans="1:9">
      <c r="A6" s="176" t="s">
        <v>1303</v>
      </c>
    </row>
    <row r="8" spans="1:9" ht="42" customHeight="1">
      <c r="A8" s="184" t="s">
        <v>1304</v>
      </c>
      <c r="B8" s="184" t="s">
        <v>1305</v>
      </c>
      <c r="C8" s="184" t="s">
        <v>1306</v>
      </c>
      <c r="D8" s="184" t="s">
        <v>145</v>
      </c>
      <c r="E8" s="184" t="s">
        <v>1307</v>
      </c>
      <c r="F8" s="184" t="s">
        <v>1308</v>
      </c>
      <c r="G8" s="377" t="s">
        <v>1309</v>
      </c>
      <c r="H8" s="374"/>
      <c r="I8" s="374"/>
    </row>
    <row r="9" spans="1:9" ht="25.5">
      <c r="G9" s="178" t="s">
        <v>1310</v>
      </c>
      <c r="H9" s="178" t="s">
        <v>1311</v>
      </c>
      <c r="I9" s="184" t="s">
        <v>1312</v>
      </c>
    </row>
    <row r="10" spans="1:9">
      <c r="A10" s="178" t="s">
        <v>1313</v>
      </c>
      <c r="B10" s="177">
        <v>11.8</v>
      </c>
      <c r="C10" s="177">
        <v>1</v>
      </c>
      <c r="D10" s="178" t="s">
        <v>871</v>
      </c>
      <c r="E10" s="177">
        <v>0.23</v>
      </c>
      <c r="F10" s="177">
        <v>1.36</v>
      </c>
      <c r="G10" s="177">
        <v>1.25</v>
      </c>
      <c r="H10" s="177">
        <v>6.5</v>
      </c>
      <c r="I10" s="177">
        <v>58</v>
      </c>
    </row>
    <row r="11" spans="1:9">
      <c r="C11" s="177">
        <v>2</v>
      </c>
      <c r="D11" s="178" t="s">
        <v>871</v>
      </c>
      <c r="E11" s="177">
        <v>0.39</v>
      </c>
      <c r="F11" s="177">
        <v>0.81</v>
      </c>
      <c r="G11" s="177">
        <v>0.48</v>
      </c>
      <c r="H11" s="177">
        <v>6</v>
      </c>
      <c r="I11" s="177">
        <v>55.9</v>
      </c>
    </row>
    <row r="12" spans="1:9">
      <c r="A12" s="178" t="s">
        <v>1314</v>
      </c>
      <c r="B12" s="177">
        <v>12.8</v>
      </c>
      <c r="C12" s="177">
        <v>1</v>
      </c>
      <c r="D12" s="178" t="s">
        <v>871</v>
      </c>
      <c r="E12" s="177">
        <v>0.1</v>
      </c>
      <c r="F12" s="177">
        <v>2.63</v>
      </c>
      <c r="G12" s="177">
        <v>2.09</v>
      </c>
      <c r="H12" s="177">
        <v>4.0999999999999996</v>
      </c>
      <c r="I12" s="177">
        <v>47.2</v>
      </c>
    </row>
    <row r="13" spans="1:9">
      <c r="C13" s="177">
        <v>2</v>
      </c>
      <c r="D13" s="178" t="s">
        <v>871</v>
      </c>
      <c r="E13" s="177">
        <v>0.2</v>
      </c>
      <c r="F13" s="177">
        <v>1.69</v>
      </c>
      <c r="G13" s="177">
        <v>1.42</v>
      </c>
      <c r="H13" s="177">
        <v>6.4</v>
      </c>
      <c r="I13" s="177">
        <v>49.2</v>
      </c>
    </row>
    <row r="14" spans="1:9">
      <c r="C14" s="177">
        <v>3</v>
      </c>
      <c r="D14" s="178" t="s">
        <v>871</v>
      </c>
      <c r="E14" s="177">
        <v>0.7</v>
      </c>
      <c r="F14" s="177">
        <v>0.5</v>
      </c>
      <c r="G14" s="177">
        <v>0.44</v>
      </c>
      <c r="H14" s="177">
        <v>4.4000000000000004</v>
      </c>
      <c r="I14" s="177">
        <v>40.799999999999997</v>
      </c>
    </row>
    <row r="15" spans="1:9">
      <c r="C15" s="177">
        <v>4</v>
      </c>
      <c r="D15" s="178" t="s">
        <v>871</v>
      </c>
      <c r="E15" s="177">
        <v>0.79</v>
      </c>
      <c r="F15" s="177">
        <v>0.57999999999999996</v>
      </c>
      <c r="G15" s="177">
        <v>0.34</v>
      </c>
      <c r="H15" s="177">
        <v>6.7</v>
      </c>
      <c r="I15" s="177">
        <v>45.1</v>
      </c>
    </row>
    <row r="16" spans="1:9">
      <c r="A16" s="178" t="s">
        <v>1315</v>
      </c>
      <c r="B16" s="177">
        <v>15</v>
      </c>
      <c r="C16" s="177">
        <v>1</v>
      </c>
      <c r="D16" s="178" t="s">
        <v>871</v>
      </c>
      <c r="E16" s="177">
        <v>0.12</v>
      </c>
      <c r="F16" s="177">
        <v>3.06</v>
      </c>
      <c r="G16" s="177">
        <v>2.17</v>
      </c>
      <c r="H16" s="177">
        <v>7.1</v>
      </c>
      <c r="I16" s="177">
        <v>44.1</v>
      </c>
    </row>
    <row r="17" spans="1:9">
      <c r="C17" s="177">
        <v>2</v>
      </c>
      <c r="D17" s="178" t="s">
        <v>871</v>
      </c>
      <c r="E17" s="177">
        <v>0.14000000000000001</v>
      </c>
      <c r="F17" s="177">
        <v>2.91</v>
      </c>
      <c r="G17" s="177">
        <v>1.69</v>
      </c>
      <c r="H17" s="177">
        <v>6.3</v>
      </c>
      <c r="I17" s="177">
        <v>52.4</v>
      </c>
    </row>
    <row r="18" spans="1:9">
      <c r="C18" s="177">
        <v>3</v>
      </c>
      <c r="D18" s="178" t="s">
        <v>871</v>
      </c>
      <c r="E18" s="177">
        <v>0.21</v>
      </c>
      <c r="F18" s="177">
        <v>1.56</v>
      </c>
      <c r="G18" s="177">
        <v>0.76</v>
      </c>
      <c r="H18" s="177">
        <v>5.4</v>
      </c>
      <c r="I18" s="177">
        <v>38.4</v>
      </c>
    </row>
    <row r="19" spans="1:9">
      <c r="C19" s="177">
        <v>4</v>
      </c>
      <c r="D19" s="178" t="s">
        <v>871</v>
      </c>
      <c r="E19" s="177">
        <v>0.33</v>
      </c>
      <c r="F19" s="177">
        <v>1</v>
      </c>
      <c r="G19" s="177">
        <v>0.48</v>
      </c>
      <c r="H19" s="177">
        <v>3.7</v>
      </c>
      <c r="I19" s="177">
        <v>43.2</v>
      </c>
    </row>
    <row r="20" spans="1:9">
      <c r="C20" s="177">
        <v>5</v>
      </c>
      <c r="D20" s="178" t="s">
        <v>871</v>
      </c>
      <c r="E20" s="177">
        <v>0.55000000000000004</v>
      </c>
      <c r="F20" s="177">
        <v>0.75</v>
      </c>
      <c r="G20" s="177">
        <v>0.39</v>
      </c>
      <c r="H20" s="177">
        <v>4.0999999999999996</v>
      </c>
      <c r="I20" s="177">
        <v>43.4</v>
      </c>
    </row>
    <row r="21" spans="1:9">
      <c r="A21" s="178" t="s">
        <v>1316</v>
      </c>
      <c r="B21" s="177">
        <v>13.1</v>
      </c>
      <c r="C21" s="177">
        <v>1</v>
      </c>
      <c r="D21" s="176" t="s">
        <v>873</v>
      </c>
      <c r="E21" s="176">
        <v>0.16</v>
      </c>
      <c r="F21" s="176">
        <v>0.96</v>
      </c>
      <c r="G21" s="176">
        <v>0.65</v>
      </c>
      <c r="H21" s="176">
        <v>5.0999999999999996</v>
      </c>
      <c r="I21" s="176">
        <v>42.8</v>
      </c>
    </row>
    <row r="22" spans="1:9">
      <c r="C22" s="177">
        <v>2</v>
      </c>
      <c r="D22" s="176" t="s">
        <v>873</v>
      </c>
      <c r="E22" s="176">
        <v>0.17</v>
      </c>
      <c r="F22" s="176">
        <v>0.91</v>
      </c>
      <c r="G22" s="176">
        <v>0.62</v>
      </c>
      <c r="H22" s="176">
        <v>4.3</v>
      </c>
      <c r="I22" s="176">
        <v>46.6</v>
      </c>
    </row>
    <row r="23" spans="1:9">
      <c r="C23" s="177">
        <v>3</v>
      </c>
      <c r="D23" s="176" t="s">
        <v>873</v>
      </c>
      <c r="E23" s="176">
        <v>0.24</v>
      </c>
      <c r="F23" s="176">
        <v>0.69</v>
      </c>
      <c r="G23" s="176">
        <v>0.49</v>
      </c>
      <c r="H23" s="176">
        <v>5.2</v>
      </c>
      <c r="I23" s="176">
        <v>45.4</v>
      </c>
    </row>
    <row r="24" spans="1:9">
      <c r="C24" s="177">
        <v>4</v>
      </c>
      <c r="D24" s="176" t="s">
        <v>873</v>
      </c>
      <c r="E24" s="176">
        <v>0.28999999999999998</v>
      </c>
      <c r="F24" s="176">
        <v>0.59</v>
      </c>
      <c r="G24" s="176">
        <v>0.42</v>
      </c>
      <c r="H24" s="176">
        <v>2.9</v>
      </c>
      <c r="I24" s="176">
        <v>38.1</v>
      </c>
    </row>
    <row r="26" spans="1:9">
      <c r="A26" s="178" t="s">
        <v>854</v>
      </c>
    </row>
    <row r="27" spans="1:9">
      <c r="A27" s="178" t="s">
        <v>1317</v>
      </c>
    </row>
  </sheetData>
  <mergeCells count="1">
    <mergeCell ref="G8:I8"/>
  </mergeCells>
  <pageMargins left="0.78740157499999996" right="0.78740157499999996" top="0.984251969" bottom="0.984251969" header="0.4921259845" footer="0.492125984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63"/>
  <sheetViews>
    <sheetView topLeftCell="A2" workbookViewId="0">
      <selection activeCell="G20" sqref="G20"/>
    </sheetView>
  </sheetViews>
  <sheetFormatPr baseColWidth="10" defaultRowHeight="12.75"/>
  <cols>
    <col min="1" max="1" width="22.140625" style="177" customWidth="1"/>
    <col min="2" max="2" width="18.42578125" style="177" bestFit="1" customWidth="1"/>
    <col min="3" max="3" width="10.5703125" style="177" customWidth="1"/>
    <col min="4" max="4" width="18" style="177" bestFit="1" customWidth="1"/>
    <col min="5" max="8" width="11.42578125" style="177"/>
    <col min="9" max="9" width="18.5703125" style="177" customWidth="1"/>
    <col min="10" max="16384" width="11.42578125" style="177"/>
  </cols>
  <sheetData>
    <row r="1" spans="1:2">
      <c r="A1" s="176" t="s">
        <v>809</v>
      </c>
    </row>
    <row r="2" spans="1:2">
      <c r="A2" s="178" t="s">
        <v>810</v>
      </c>
    </row>
    <row r="3" spans="1:2">
      <c r="A3" s="178" t="s">
        <v>811</v>
      </c>
    </row>
    <row r="4" spans="1:2">
      <c r="A4" s="178" t="s">
        <v>812</v>
      </c>
    </row>
    <row r="5" spans="1:2">
      <c r="A5" s="178" t="s">
        <v>813</v>
      </c>
    </row>
    <row r="6" spans="1:2">
      <c r="A6" s="178"/>
    </row>
    <row r="7" spans="1:2">
      <c r="A7" s="178" t="s">
        <v>814</v>
      </c>
    </row>
    <row r="8" spans="1:2">
      <c r="A8" s="178" t="s">
        <v>815</v>
      </c>
    </row>
    <row r="9" spans="1:2">
      <c r="A9" s="178"/>
    </row>
    <row r="10" spans="1:2">
      <c r="A10" s="176" t="s">
        <v>816</v>
      </c>
    </row>
    <row r="11" spans="1:2">
      <c r="A11" s="176" t="s">
        <v>817</v>
      </c>
    </row>
    <row r="12" spans="1:2">
      <c r="A12" s="178"/>
    </row>
    <row r="13" spans="1:2">
      <c r="A13" s="176" t="s">
        <v>818</v>
      </c>
    </row>
    <row r="14" spans="1:2">
      <c r="A14" s="176" t="s">
        <v>819</v>
      </c>
    </row>
    <row r="15" spans="1:2">
      <c r="A15" s="176" t="s">
        <v>820</v>
      </c>
    </row>
    <row r="16" spans="1:2">
      <c r="B16" s="178" t="s">
        <v>821</v>
      </c>
    </row>
    <row r="17" spans="1:4">
      <c r="B17" s="178" t="s">
        <v>822</v>
      </c>
      <c r="C17" s="178" t="s">
        <v>823</v>
      </c>
      <c r="D17" s="178" t="s">
        <v>824</v>
      </c>
    </row>
    <row r="18" spans="1:4">
      <c r="A18" s="179" t="s">
        <v>825</v>
      </c>
    </row>
    <row r="19" spans="1:4">
      <c r="A19" s="178" t="s">
        <v>826</v>
      </c>
      <c r="B19" s="177">
        <v>30</v>
      </c>
      <c r="C19" s="177">
        <v>3</v>
      </c>
      <c r="D19" s="177">
        <v>0.4</v>
      </c>
    </row>
    <row r="20" spans="1:4">
      <c r="A20" s="178" t="s">
        <v>827</v>
      </c>
      <c r="B20" s="177">
        <v>46</v>
      </c>
      <c r="C20" s="177">
        <v>1.8</v>
      </c>
      <c r="D20" s="177">
        <v>0.43</v>
      </c>
    </row>
    <row r="21" spans="1:4">
      <c r="A21" s="178" t="s">
        <v>828</v>
      </c>
      <c r="B21" s="177">
        <v>32</v>
      </c>
      <c r="C21" s="177">
        <v>1.2</v>
      </c>
      <c r="D21" s="177">
        <v>0.95</v>
      </c>
    </row>
    <row r="23" spans="1:4">
      <c r="A23" s="179" t="s">
        <v>829</v>
      </c>
      <c r="B23" s="177">
        <v>4</v>
      </c>
      <c r="C23" s="177">
        <v>6</v>
      </c>
      <c r="D23" s="177">
        <v>0.54</v>
      </c>
    </row>
    <row r="25" spans="1:4">
      <c r="A25" s="179" t="s">
        <v>830</v>
      </c>
    </row>
    <row r="26" spans="1:4">
      <c r="A26" s="178" t="s">
        <v>826</v>
      </c>
      <c r="B26" s="177">
        <v>10</v>
      </c>
      <c r="C26" s="177">
        <v>1</v>
      </c>
      <c r="D26" s="177">
        <v>2.2999999999999998</v>
      </c>
    </row>
    <row r="27" spans="1:4">
      <c r="A27" s="178" t="s">
        <v>827</v>
      </c>
    </row>
    <row r="28" spans="1:4">
      <c r="A28" s="178" t="s">
        <v>828</v>
      </c>
    </row>
    <row r="30" spans="1:4">
      <c r="A30" s="176" t="s">
        <v>831</v>
      </c>
    </row>
    <row r="31" spans="1:4">
      <c r="A31" s="176" t="s">
        <v>832</v>
      </c>
    </row>
    <row r="32" spans="1:4">
      <c r="A32" s="176" t="s">
        <v>833</v>
      </c>
    </row>
    <row r="33" spans="1:2">
      <c r="A33" s="178" t="s">
        <v>825</v>
      </c>
      <c r="B33" s="178" t="s">
        <v>837</v>
      </c>
    </row>
    <row r="34" spans="1:2">
      <c r="B34" s="178" t="s">
        <v>838</v>
      </c>
    </row>
    <row r="35" spans="1:2">
      <c r="A35" s="179" t="s">
        <v>839</v>
      </c>
      <c r="B35" s="177">
        <v>40</v>
      </c>
    </row>
    <row r="36" spans="1:2">
      <c r="A36" s="178" t="s">
        <v>826</v>
      </c>
      <c r="B36" s="177">
        <v>59</v>
      </c>
    </row>
    <row r="37" spans="1:2">
      <c r="A37" s="178" t="s">
        <v>827</v>
      </c>
      <c r="B37" s="177">
        <v>69</v>
      </c>
    </row>
    <row r="38" spans="1:2">
      <c r="A38" s="178" t="s">
        <v>828</v>
      </c>
      <c r="B38" s="177">
        <v>46</v>
      </c>
    </row>
    <row r="39" spans="1:2">
      <c r="A39" s="178" t="s">
        <v>840</v>
      </c>
    </row>
    <row r="41" spans="1:2">
      <c r="A41" s="179" t="s">
        <v>841</v>
      </c>
    </row>
    <row r="42" spans="1:2">
      <c r="A42" s="178" t="s">
        <v>826</v>
      </c>
      <c r="B42" s="177">
        <v>67</v>
      </c>
    </row>
    <row r="43" spans="1:2">
      <c r="A43" s="178" t="s">
        <v>827</v>
      </c>
      <c r="B43" s="177">
        <v>85</v>
      </c>
    </row>
    <row r="44" spans="1:2">
      <c r="A44" s="178" t="s">
        <v>828</v>
      </c>
      <c r="B44" s="177">
        <v>111</v>
      </c>
    </row>
    <row r="45" spans="1:2">
      <c r="A45" s="178" t="s">
        <v>840</v>
      </c>
      <c r="B45" s="177">
        <v>76</v>
      </c>
    </row>
    <row r="47" spans="1:2">
      <c r="A47" s="179" t="s">
        <v>842</v>
      </c>
    </row>
    <row r="48" spans="1:2">
      <c r="A48" s="178" t="s">
        <v>826</v>
      </c>
      <c r="B48" s="177">
        <v>45</v>
      </c>
    </row>
    <row r="49" spans="1:9">
      <c r="A49" s="178" t="s">
        <v>827</v>
      </c>
      <c r="B49" s="177">
        <v>59</v>
      </c>
    </row>
    <row r="50" spans="1:9">
      <c r="A50" s="178" t="s">
        <v>828</v>
      </c>
      <c r="B50" s="177">
        <v>73</v>
      </c>
    </row>
    <row r="51" spans="1:9">
      <c r="A51" s="178" t="s">
        <v>840</v>
      </c>
      <c r="B51" s="177">
        <v>52</v>
      </c>
    </row>
    <row r="53" spans="1:9">
      <c r="A53" s="176" t="s">
        <v>843</v>
      </c>
    </row>
    <row r="54" spans="1:9">
      <c r="A54" s="176" t="s">
        <v>844</v>
      </c>
    </row>
    <row r="55" spans="1:9" ht="15.75">
      <c r="B55" s="178" t="s">
        <v>856</v>
      </c>
    </row>
    <row r="56" spans="1:9">
      <c r="A56" s="179" t="s">
        <v>845</v>
      </c>
      <c r="B56" s="178" t="s">
        <v>846</v>
      </c>
      <c r="C56" s="178" t="s">
        <v>847</v>
      </c>
      <c r="D56" s="178" t="s">
        <v>848</v>
      </c>
      <c r="E56" s="178" t="s">
        <v>849</v>
      </c>
      <c r="F56" s="178" t="s">
        <v>850</v>
      </c>
      <c r="G56" s="178" t="s">
        <v>851</v>
      </c>
      <c r="H56" s="178" t="s">
        <v>852</v>
      </c>
      <c r="I56" s="178" t="s">
        <v>853</v>
      </c>
    </row>
    <row r="57" spans="1:9">
      <c r="A57" s="178" t="s">
        <v>826</v>
      </c>
      <c r="B57" s="178" t="s">
        <v>125</v>
      </c>
      <c r="C57" s="177">
        <v>936</v>
      </c>
      <c r="D57" s="177">
        <v>261</v>
      </c>
      <c r="E57" s="177">
        <v>294</v>
      </c>
      <c r="F57" s="177">
        <v>384</v>
      </c>
      <c r="G57" s="177">
        <v>360</v>
      </c>
      <c r="H57" s="177">
        <v>90</v>
      </c>
      <c r="I57" s="177">
        <v>2325</v>
      </c>
    </row>
    <row r="58" spans="1:9">
      <c r="A58" s="178" t="s">
        <v>827</v>
      </c>
      <c r="B58" s="178" t="s">
        <v>125</v>
      </c>
      <c r="C58" s="177">
        <v>513</v>
      </c>
      <c r="D58" s="177">
        <v>142</v>
      </c>
      <c r="E58" s="177">
        <v>161</v>
      </c>
      <c r="F58" s="177">
        <v>210</v>
      </c>
      <c r="G58" s="177">
        <v>196</v>
      </c>
      <c r="H58" s="177">
        <v>49</v>
      </c>
      <c r="I58" s="177">
        <v>1271</v>
      </c>
    </row>
    <row r="59" spans="1:9">
      <c r="A59" s="178" t="s">
        <v>828</v>
      </c>
      <c r="B59" s="178" t="s">
        <v>125</v>
      </c>
      <c r="C59" s="177">
        <v>343</v>
      </c>
      <c r="D59" s="177">
        <v>95</v>
      </c>
      <c r="E59" s="177">
        <v>107</v>
      </c>
      <c r="F59" s="177">
        <v>141</v>
      </c>
      <c r="G59" s="177">
        <v>132</v>
      </c>
      <c r="H59" s="177">
        <v>33</v>
      </c>
      <c r="I59" s="177">
        <v>851</v>
      </c>
    </row>
    <row r="60" spans="1:9">
      <c r="A60" s="178" t="s">
        <v>840</v>
      </c>
      <c r="B60" s="178" t="s">
        <v>125</v>
      </c>
      <c r="C60" s="177">
        <v>1792</v>
      </c>
      <c r="D60" s="177">
        <v>498</v>
      </c>
      <c r="E60" s="177">
        <v>562</v>
      </c>
      <c r="F60" s="177">
        <v>735</v>
      </c>
      <c r="G60" s="177">
        <v>688</v>
      </c>
      <c r="H60" s="177">
        <v>172</v>
      </c>
      <c r="I60" s="177">
        <v>4447</v>
      </c>
    </row>
    <row r="62" spans="1:9">
      <c r="A62" s="178" t="s">
        <v>854</v>
      </c>
    </row>
    <row r="63" spans="1:9">
      <c r="A63" s="180" t="s">
        <v>855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E26" sqref="E26"/>
    </sheetView>
  </sheetViews>
  <sheetFormatPr baseColWidth="10" defaultRowHeight="12.75"/>
  <sheetData>
    <row r="1" spans="1:3">
      <c r="A1" t="s">
        <v>1811</v>
      </c>
    </row>
    <row r="2" spans="1:3">
      <c r="A2" s="287" t="s">
        <v>1812</v>
      </c>
      <c r="B2" s="287" t="s">
        <v>1813</v>
      </c>
    </row>
    <row r="3" spans="1:3">
      <c r="A3" s="287" t="s">
        <v>1810</v>
      </c>
    </row>
    <row r="4" spans="1:3">
      <c r="A4">
        <v>22.7</v>
      </c>
      <c r="B4" s="287">
        <v>25.2</v>
      </c>
      <c r="C4" s="287" t="s">
        <v>1814</v>
      </c>
    </row>
    <row r="5" spans="1:3">
      <c r="A5" s="287" t="s">
        <v>1815</v>
      </c>
    </row>
    <row r="7" spans="1:3">
      <c r="A7">
        <v>268.89999999999998</v>
      </c>
      <c r="B7" s="287">
        <v>151.9</v>
      </c>
      <c r="C7" s="287" t="s">
        <v>1816</v>
      </c>
    </row>
    <row r="9" spans="1:3">
      <c r="A9" s="287" t="s">
        <v>1817</v>
      </c>
      <c r="B9" s="287" t="s">
        <v>1818</v>
      </c>
    </row>
    <row r="10" spans="1:3">
      <c r="A10" s="287" t="s">
        <v>1819</v>
      </c>
    </row>
    <row r="11" spans="1:3" ht="10.5" customHeight="1">
      <c r="A11">
        <v>0.02</v>
      </c>
      <c r="B11" s="287">
        <v>4.2000000000000003E-2</v>
      </c>
      <c r="C11" s="287" t="s">
        <v>1820</v>
      </c>
    </row>
    <row r="12" spans="1:3" hidden="1"/>
    <row r="13" spans="1:3">
      <c r="A13" s="287" t="s">
        <v>1821</v>
      </c>
      <c r="B13" s="287"/>
    </row>
    <row r="14" spans="1:3">
      <c r="A14">
        <v>105.5</v>
      </c>
      <c r="B14">
        <v>81.5</v>
      </c>
      <c r="C14" s="287" t="s">
        <v>1816</v>
      </c>
    </row>
    <row r="15" spans="1:3">
      <c r="A15" s="287" t="s">
        <v>1819</v>
      </c>
    </row>
    <row r="16" spans="1:3">
      <c r="A16">
        <v>5.3999999999999999E-2</v>
      </c>
      <c r="B16" s="287">
        <v>7.8E-2</v>
      </c>
    </row>
    <row r="17" spans="2:2">
      <c r="B17" s="287"/>
    </row>
  </sheetData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2:F26"/>
  <sheetViews>
    <sheetView workbookViewId="0">
      <selection activeCell="A30" sqref="A30"/>
    </sheetView>
  </sheetViews>
  <sheetFormatPr baseColWidth="10" defaultRowHeight="12.75"/>
  <sheetData>
    <row r="2" spans="1:6">
      <c r="A2" t="s">
        <v>1778</v>
      </c>
    </row>
    <row r="5" spans="1:6">
      <c r="A5" s="173" t="s">
        <v>1584</v>
      </c>
      <c r="B5" s="173" t="s">
        <v>1779</v>
      </c>
      <c r="C5" s="173"/>
      <c r="D5" s="173"/>
      <c r="E5" s="173"/>
      <c r="F5" s="173"/>
    </row>
    <row r="7" spans="1:6">
      <c r="A7" s="287" t="s">
        <v>1780</v>
      </c>
    </row>
    <row r="10" spans="1:6">
      <c r="B10" s="287" t="s">
        <v>1781</v>
      </c>
      <c r="C10" s="287" t="s">
        <v>1782</v>
      </c>
      <c r="D10" s="287" t="s">
        <v>1783</v>
      </c>
      <c r="E10" s="287" t="s">
        <v>1784</v>
      </c>
    </row>
    <row r="11" spans="1:6">
      <c r="B11">
        <v>1.06E-2</v>
      </c>
      <c r="C11">
        <v>1.4500000000000001E-2</v>
      </c>
      <c r="D11">
        <v>1.7999999999999999E-2</v>
      </c>
      <c r="E11" s="94">
        <f>AVERAGE(B11:D11)</f>
        <v>1.4366666666666666E-2</v>
      </c>
    </row>
    <row r="13" spans="1:6">
      <c r="A13" s="287" t="s">
        <v>1785</v>
      </c>
    </row>
    <row r="15" spans="1:6">
      <c r="B15" s="287" t="s">
        <v>1786</v>
      </c>
      <c r="C15" s="287" t="s">
        <v>1787</v>
      </c>
    </row>
    <row r="18" spans="1:5">
      <c r="A18" s="173" t="s">
        <v>1792</v>
      </c>
    </row>
    <row r="19" spans="1:5">
      <c r="C19" s="287" t="s">
        <v>1793</v>
      </c>
      <c r="D19" s="287" t="s">
        <v>1794</v>
      </c>
    </row>
    <row r="20" spans="1:5">
      <c r="A20" s="287" t="s">
        <v>1788</v>
      </c>
      <c r="C20">
        <v>1.0999999999999999E-2</v>
      </c>
      <c r="D20">
        <v>11</v>
      </c>
    </row>
    <row r="21" spans="1:5">
      <c r="A21" s="287" t="s">
        <v>1789</v>
      </c>
      <c r="C21">
        <v>4.0000000000000001E-3</v>
      </c>
      <c r="D21">
        <v>4</v>
      </c>
    </row>
    <row r="22" spans="1:5">
      <c r="A22" s="287" t="s">
        <v>1790</v>
      </c>
      <c r="C22">
        <v>6.9999999999999999E-4</v>
      </c>
      <c r="D22">
        <v>0.7</v>
      </c>
    </row>
    <row r="23" spans="1:5">
      <c r="A23" s="287" t="s">
        <v>1791</v>
      </c>
      <c r="C23">
        <v>4.0000000000000001E-3</v>
      </c>
      <c r="D23">
        <v>4</v>
      </c>
    </row>
    <row r="25" spans="1:5">
      <c r="A25" s="287" t="s">
        <v>1795</v>
      </c>
      <c r="C25">
        <v>1</v>
      </c>
    </row>
    <row r="26" spans="1:5">
      <c r="A26" s="287" t="s">
        <v>1798</v>
      </c>
      <c r="C26" s="287" t="s">
        <v>1797</v>
      </c>
      <c r="E26" s="287" t="s">
        <v>1796</v>
      </c>
    </row>
  </sheetData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S83"/>
  <sheetViews>
    <sheetView topLeftCell="A55" zoomScale="75" workbookViewId="0">
      <selection activeCell="A83" sqref="A83"/>
    </sheetView>
  </sheetViews>
  <sheetFormatPr baseColWidth="10" defaultRowHeight="12.75"/>
  <cols>
    <col min="1" max="1" width="20.85546875" customWidth="1"/>
    <col min="2" max="3" width="9" bestFit="1" customWidth="1"/>
    <col min="4" max="4" width="12.85546875" bestFit="1" customWidth="1"/>
    <col min="5" max="5" width="6.7109375" bestFit="1" customWidth="1"/>
    <col min="6" max="6" width="7.5703125" bestFit="1" customWidth="1"/>
    <col min="7" max="7" width="12.85546875" bestFit="1" customWidth="1"/>
    <col min="8" max="8" width="6.7109375" bestFit="1" customWidth="1"/>
    <col min="9" max="9" width="7.5703125" bestFit="1" customWidth="1"/>
    <col min="10" max="18" width="8.140625" customWidth="1"/>
  </cols>
  <sheetData>
    <row r="1" spans="1:4" ht="15">
      <c r="A1" s="174" t="s">
        <v>268</v>
      </c>
    </row>
    <row r="3" spans="1:4">
      <c r="A3" t="s">
        <v>269</v>
      </c>
    </row>
    <row r="4" spans="1:4">
      <c r="A4" t="s">
        <v>270</v>
      </c>
    </row>
    <row r="5" spans="1:4">
      <c r="A5" t="s">
        <v>271</v>
      </c>
    </row>
    <row r="7" spans="1:4">
      <c r="A7" s="173" t="s">
        <v>777</v>
      </c>
    </row>
    <row r="9" spans="1:4">
      <c r="A9" t="s">
        <v>778</v>
      </c>
      <c r="B9" t="s">
        <v>785</v>
      </c>
      <c r="C9" t="s">
        <v>786</v>
      </c>
      <c r="D9" t="s">
        <v>787</v>
      </c>
    </row>
    <row r="10" spans="1:4">
      <c r="A10" t="s">
        <v>779</v>
      </c>
      <c r="B10">
        <v>4</v>
      </c>
      <c r="C10">
        <v>1.3</v>
      </c>
      <c r="D10" t="s">
        <v>788</v>
      </c>
    </row>
    <row r="11" spans="1:4">
      <c r="A11" t="s">
        <v>780</v>
      </c>
      <c r="B11">
        <v>0.3</v>
      </c>
      <c r="C11">
        <v>0.6</v>
      </c>
      <c r="D11" t="s">
        <v>788</v>
      </c>
    </row>
    <row r="12" spans="1:4">
      <c r="A12" t="s">
        <v>790</v>
      </c>
      <c r="B12">
        <v>2.9</v>
      </c>
      <c r="C12">
        <v>0.6</v>
      </c>
      <c r="D12" t="s">
        <v>788</v>
      </c>
    </row>
    <row r="13" spans="1:4">
      <c r="A13" t="s">
        <v>781</v>
      </c>
      <c r="B13">
        <v>246</v>
      </c>
      <c r="C13">
        <v>38</v>
      </c>
      <c r="D13" t="s">
        <v>789</v>
      </c>
    </row>
    <row r="14" spans="1:4">
      <c r="A14" t="s">
        <v>784</v>
      </c>
      <c r="B14">
        <v>412</v>
      </c>
      <c r="C14">
        <v>35</v>
      </c>
      <c r="D14" t="s">
        <v>789</v>
      </c>
    </row>
    <row r="15" spans="1:4">
      <c r="A15" t="s">
        <v>782</v>
      </c>
      <c r="B15">
        <v>133</v>
      </c>
      <c r="C15">
        <v>23</v>
      </c>
      <c r="D15" t="s">
        <v>789</v>
      </c>
    </row>
    <row r="16" spans="1:4">
      <c r="A16" t="s">
        <v>783</v>
      </c>
      <c r="B16">
        <v>136</v>
      </c>
      <c r="C16">
        <v>24</v>
      </c>
      <c r="D16" t="s">
        <v>789</v>
      </c>
    </row>
    <row r="20" spans="1:10">
      <c r="A20" s="173" t="s">
        <v>272</v>
      </c>
    </row>
    <row r="21" spans="1:10">
      <c r="A21" s="173" t="s">
        <v>273</v>
      </c>
    </row>
    <row r="22" spans="1:10">
      <c r="B22" s="382" t="s">
        <v>286</v>
      </c>
      <c r="C22" s="382"/>
      <c r="D22" s="382"/>
      <c r="E22" s="382" t="s">
        <v>287</v>
      </c>
      <c r="F22" s="382"/>
      <c r="G22" s="382"/>
      <c r="H22" s="382" t="s">
        <v>288</v>
      </c>
      <c r="I22" s="382"/>
      <c r="J22" s="382"/>
    </row>
    <row r="23" spans="1:10">
      <c r="A23" t="s">
        <v>274</v>
      </c>
      <c r="B23" t="s">
        <v>289</v>
      </c>
      <c r="C23" t="s">
        <v>290</v>
      </c>
      <c r="D23" t="s">
        <v>291</v>
      </c>
      <c r="E23" t="s">
        <v>289</v>
      </c>
      <c r="F23" t="s">
        <v>290</v>
      </c>
      <c r="G23" t="s">
        <v>291</v>
      </c>
      <c r="H23" t="s">
        <v>289</v>
      </c>
      <c r="I23" t="s">
        <v>290</v>
      </c>
      <c r="J23" t="s">
        <v>291</v>
      </c>
    </row>
    <row r="24" spans="1:10">
      <c r="A24" t="s">
        <v>275</v>
      </c>
      <c r="C24">
        <v>3.16</v>
      </c>
      <c r="D24">
        <v>6.07</v>
      </c>
      <c r="F24">
        <v>6.5</v>
      </c>
      <c r="G24">
        <v>5.04</v>
      </c>
      <c r="I24">
        <v>2.94</v>
      </c>
      <c r="J24">
        <v>2.0699999999999998</v>
      </c>
    </row>
    <row r="25" spans="1:10">
      <c r="A25" t="s">
        <v>276</v>
      </c>
      <c r="C25">
        <v>4.92</v>
      </c>
      <c r="D25">
        <v>9.4499999999999993</v>
      </c>
      <c r="F25">
        <v>25.2</v>
      </c>
      <c r="G25">
        <v>19.53</v>
      </c>
      <c r="I25">
        <v>16.350000000000001</v>
      </c>
      <c r="J25">
        <v>11.5</v>
      </c>
    </row>
    <row r="26" spans="1:10">
      <c r="A26" t="s">
        <v>277</v>
      </c>
      <c r="C26">
        <v>3.08</v>
      </c>
      <c r="D26">
        <v>5.91</v>
      </c>
      <c r="F26">
        <v>0.26</v>
      </c>
      <c r="G26">
        <v>0.2</v>
      </c>
      <c r="I26">
        <v>0.01</v>
      </c>
      <c r="J26">
        <v>0.01</v>
      </c>
    </row>
    <row r="27" spans="1:10">
      <c r="A27" t="s">
        <v>278</v>
      </c>
      <c r="C27">
        <v>19.14</v>
      </c>
      <c r="D27">
        <v>36.75</v>
      </c>
      <c r="F27">
        <v>2.06</v>
      </c>
      <c r="G27">
        <v>1.6</v>
      </c>
      <c r="I27">
        <v>0.08</v>
      </c>
      <c r="J27">
        <v>0.06</v>
      </c>
    </row>
    <row r="28" spans="1:10">
      <c r="A28" t="s">
        <v>279</v>
      </c>
      <c r="C28">
        <v>0</v>
      </c>
      <c r="D28">
        <v>0</v>
      </c>
      <c r="F28">
        <v>0</v>
      </c>
      <c r="G28">
        <v>0</v>
      </c>
      <c r="I28">
        <v>0.23</v>
      </c>
      <c r="J28">
        <v>0.16</v>
      </c>
    </row>
    <row r="29" spans="1:10">
      <c r="A29" t="s">
        <v>280</v>
      </c>
      <c r="C29">
        <v>0</v>
      </c>
      <c r="D29">
        <v>0</v>
      </c>
      <c r="F29">
        <v>0.01</v>
      </c>
      <c r="G29">
        <v>0.01</v>
      </c>
      <c r="I29">
        <v>3.82</v>
      </c>
      <c r="J29">
        <v>2.69</v>
      </c>
    </row>
    <row r="30" spans="1:10">
      <c r="A30" t="s">
        <v>281</v>
      </c>
      <c r="B30">
        <v>17.88</v>
      </c>
      <c r="C30">
        <v>3.29</v>
      </c>
      <c r="D30">
        <v>6.32</v>
      </c>
      <c r="E30">
        <v>26.35</v>
      </c>
      <c r="F30">
        <v>7.99</v>
      </c>
      <c r="G30">
        <v>6.19</v>
      </c>
      <c r="H30">
        <v>23.18</v>
      </c>
      <c r="I30">
        <v>7.5</v>
      </c>
      <c r="J30">
        <v>5.27</v>
      </c>
    </row>
    <row r="31" spans="1:10">
      <c r="A31" t="s">
        <v>282</v>
      </c>
      <c r="B31">
        <v>83.57</v>
      </c>
      <c r="C31">
        <v>16.309999999999999</v>
      </c>
      <c r="D31">
        <v>31.31</v>
      </c>
      <c r="E31">
        <v>182.68</v>
      </c>
      <c r="F31">
        <v>77.5</v>
      </c>
      <c r="G31">
        <v>60.07</v>
      </c>
      <c r="H31">
        <v>226.49</v>
      </c>
      <c r="I31">
        <v>99.35</v>
      </c>
      <c r="J31">
        <v>69.89</v>
      </c>
    </row>
    <row r="32" spans="1:10">
      <c r="A32" t="s">
        <v>283</v>
      </c>
      <c r="C32">
        <v>2.1800000000000002</v>
      </c>
      <c r="D32">
        <v>4.01</v>
      </c>
      <c r="F32">
        <v>9.5</v>
      </c>
      <c r="G32">
        <v>6.86</v>
      </c>
      <c r="I32">
        <v>11.87</v>
      </c>
      <c r="J32">
        <v>7.71</v>
      </c>
    </row>
    <row r="33" spans="1:19">
      <c r="A33" t="s">
        <v>284</v>
      </c>
      <c r="C33">
        <v>4.9000000000000004</v>
      </c>
      <c r="D33">
        <v>9.41</v>
      </c>
      <c r="F33">
        <v>18.86</v>
      </c>
      <c r="G33">
        <v>14.62</v>
      </c>
      <c r="I33">
        <v>22.17</v>
      </c>
      <c r="J33">
        <v>15.6</v>
      </c>
      <c r="L33">
        <f>(C25+C28+C29)/C33</f>
        <v>1.0040816326530611</v>
      </c>
      <c r="O33">
        <f>(F25+F28+F29)/F33</f>
        <v>1.3366914103923648</v>
      </c>
      <c r="R33">
        <f>(I25+I28+I29)/I33</f>
        <v>0.92016238159675234</v>
      </c>
      <c r="S33" t="s">
        <v>554</v>
      </c>
    </row>
    <row r="34" spans="1:19">
      <c r="A34" t="s">
        <v>285</v>
      </c>
      <c r="C34">
        <v>4.1100000000000003</v>
      </c>
      <c r="D34">
        <v>7.89</v>
      </c>
      <c r="F34">
        <v>4.1100000000000003</v>
      </c>
      <c r="G34">
        <v>3.19</v>
      </c>
      <c r="I34">
        <v>4.1100000000000003</v>
      </c>
      <c r="J34">
        <v>2.89</v>
      </c>
      <c r="L34">
        <f>L33+1</f>
        <v>2.0040816326530608</v>
      </c>
      <c r="O34">
        <f>O33+1</f>
        <v>2.3366914103923646</v>
      </c>
      <c r="R34">
        <f>R33+1</f>
        <v>1.9201623815967523</v>
      </c>
    </row>
    <row r="35" spans="1:19">
      <c r="L35">
        <f>L33/L34</f>
        <v>0.50101832993890016</v>
      </c>
      <c r="O35">
        <f>O33/O34</f>
        <v>0.57204447469934205</v>
      </c>
      <c r="R35">
        <f>R33/R34</f>
        <v>0.47921071176885127</v>
      </c>
    </row>
    <row r="36" spans="1:19">
      <c r="A36" t="s">
        <v>292</v>
      </c>
      <c r="B36">
        <v>101.46</v>
      </c>
      <c r="C36">
        <v>52.08</v>
      </c>
      <c r="D36">
        <v>100</v>
      </c>
      <c r="F36">
        <v>129.02000000000001</v>
      </c>
      <c r="G36">
        <v>100</v>
      </c>
      <c r="I36">
        <v>142.15</v>
      </c>
      <c r="J36">
        <v>100</v>
      </c>
    </row>
    <row r="37" spans="1:19">
      <c r="A37" t="s">
        <v>293</v>
      </c>
      <c r="C37">
        <v>61.09</v>
      </c>
      <c r="D37">
        <v>117.3</v>
      </c>
      <c r="F37">
        <v>151.99</v>
      </c>
      <c r="G37">
        <v>117.8</v>
      </c>
      <c r="I37">
        <v>168.43</v>
      </c>
      <c r="J37">
        <v>118.49</v>
      </c>
      <c r="N37">
        <f>AVERAGE(L35,O35,R35)</f>
        <v>0.51742450546903118</v>
      </c>
    </row>
    <row r="40" spans="1:19">
      <c r="A40" s="173" t="s">
        <v>302</v>
      </c>
    </row>
    <row r="41" spans="1:19">
      <c r="A41" s="173"/>
    </row>
    <row r="42" spans="1:19">
      <c r="B42" s="130" t="s">
        <v>296</v>
      </c>
      <c r="C42" s="130" t="s">
        <v>298</v>
      </c>
      <c r="D42" s="130" t="s">
        <v>297</v>
      </c>
      <c r="E42" s="130"/>
      <c r="F42" s="130"/>
    </row>
    <row r="43" spans="1:19">
      <c r="A43" t="s">
        <v>274</v>
      </c>
      <c r="B43" t="s">
        <v>299</v>
      </c>
      <c r="C43" t="s">
        <v>299</v>
      </c>
      <c r="D43" t="s">
        <v>299</v>
      </c>
      <c r="G43" t="s">
        <v>300</v>
      </c>
    </row>
    <row r="44" spans="1:19">
      <c r="A44" t="s">
        <v>275</v>
      </c>
      <c r="B44">
        <v>2.92</v>
      </c>
      <c r="C44">
        <v>6.09</v>
      </c>
      <c r="D44">
        <v>18.28</v>
      </c>
      <c r="G44" t="s">
        <v>301</v>
      </c>
    </row>
    <row r="45" spans="1:19">
      <c r="A45" t="s">
        <v>276</v>
      </c>
      <c r="B45">
        <v>8</v>
      </c>
      <c r="C45">
        <v>40.58</v>
      </c>
      <c r="D45">
        <v>102.2</v>
      </c>
    </row>
    <row r="46" spans="1:19">
      <c r="A46" t="s">
        <v>294</v>
      </c>
      <c r="B46">
        <v>2.19</v>
      </c>
      <c r="C46">
        <v>1.91</v>
      </c>
      <c r="D46">
        <v>25.86</v>
      </c>
    </row>
    <row r="47" spans="1:19">
      <c r="A47" t="s">
        <v>295</v>
      </c>
      <c r="B47">
        <v>2.63</v>
      </c>
      <c r="C47">
        <v>11.72</v>
      </c>
      <c r="D47">
        <v>46.85</v>
      </c>
    </row>
    <row r="48" spans="1:19">
      <c r="A48" t="s">
        <v>282</v>
      </c>
      <c r="B48">
        <v>19.14</v>
      </c>
      <c r="C48">
        <v>96.86</v>
      </c>
      <c r="D48">
        <v>620.96</v>
      </c>
    </row>
    <row r="49" spans="1:4">
      <c r="A49" t="s">
        <v>283</v>
      </c>
      <c r="B49">
        <v>2.42</v>
      </c>
      <c r="C49">
        <v>12.06</v>
      </c>
      <c r="D49">
        <v>74.2</v>
      </c>
    </row>
    <row r="50" spans="1:4">
      <c r="A50" t="s">
        <v>284</v>
      </c>
      <c r="B50">
        <v>3.16</v>
      </c>
      <c r="C50">
        <v>20.99</v>
      </c>
      <c r="D50">
        <v>138.59</v>
      </c>
    </row>
    <row r="51" spans="1:4">
      <c r="A51" t="s">
        <v>285</v>
      </c>
      <c r="B51">
        <v>4.82</v>
      </c>
      <c r="C51">
        <v>5.25</v>
      </c>
      <c r="D51">
        <v>25.69</v>
      </c>
    </row>
    <row r="53" spans="1:4">
      <c r="A53" t="s">
        <v>292</v>
      </c>
      <c r="B53">
        <v>37.299999999999997</v>
      </c>
      <c r="C53">
        <v>169.22</v>
      </c>
      <c r="D53">
        <v>888.35</v>
      </c>
    </row>
    <row r="54" spans="1:4">
      <c r="A54" t="s">
        <v>293</v>
      </c>
      <c r="B54">
        <v>45</v>
      </c>
      <c r="C54">
        <v>195</v>
      </c>
      <c r="D54">
        <v>1053</v>
      </c>
    </row>
    <row r="56" spans="1:4">
      <c r="A56" s="173" t="s">
        <v>772</v>
      </c>
    </row>
    <row r="57" spans="1:4">
      <c r="A57" s="173" t="s">
        <v>773</v>
      </c>
    </row>
    <row r="59" spans="1:4">
      <c r="A59" t="s">
        <v>774</v>
      </c>
    </row>
    <row r="62" spans="1:4">
      <c r="A62" s="173" t="s">
        <v>775</v>
      </c>
    </row>
    <row r="63" spans="1:4">
      <c r="A63" s="173" t="s">
        <v>776</v>
      </c>
    </row>
    <row r="64" spans="1:4">
      <c r="A64" s="173"/>
    </row>
    <row r="65" spans="1:19">
      <c r="B65" s="382" t="s">
        <v>791</v>
      </c>
      <c r="C65" s="382"/>
      <c r="D65" s="382"/>
      <c r="E65" s="382" t="s">
        <v>792</v>
      </c>
      <c r="F65" s="382"/>
      <c r="G65" s="382"/>
      <c r="H65" s="382" t="s">
        <v>793</v>
      </c>
      <c r="I65" s="382"/>
      <c r="J65" s="382"/>
      <c r="K65" s="382" t="s">
        <v>794</v>
      </c>
      <c r="L65" s="382"/>
      <c r="M65" s="382"/>
      <c r="N65" s="382" t="s">
        <v>795</v>
      </c>
      <c r="O65" s="382"/>
      <c r="P65" s="382"/>
      <c r="Q65" s="382" t="s">
        <v>796</v>
      </c>
      <c r="R65" s="382"/>
      <c r="S65" s="382"/>
    </row>
    <row r="66" spans="1:19">
      <c r="A66" t="s">
        <v>274</v>
      </c>
      <c r="B66" t="s">
        <v>797</v>
      </c>
      <c r="C66" t="s">
        <v>798</v>
      </c>
      <c r="D66" t="s">
        <v>799</v>
      </c>
      <c r="E66" t="s">
        <v>797</v>
      </c>
      <c r="F66" t="s">
        <v>798</v>
      </c>
      <c r="G66" t="s">
        <v>799</v>
      </c>
      <c r="H66" t="s">
        <v>797</v>
      </c>
      <c r="I66" t="s">
        <v>798</v>
      </c>
      <c r="J66" t="s">
        <v>799</v>
      </c>
      <c r="K66" t="s">
        <v>797</v>
      </c>
      <c r="L66" t="s">
        <v>798</v>
      </c>
      <c r="M66" t="s">
        <v>799</v>
      </c>
      <c r="N66" t="s">
        <v>797</v>
      </c>
      <c r="O66" t="s">
        <v>798</v>
      </c>
      <c r="P66" t="s">
        <v>799</v>
      </c>
      <c r="Q66" t="s">
        <v>797</v>
      </c>
      <c r="R66" t="s">
        <v>798</v>
      </c>
      <c r="S66" t="s">
        <v>799</v>
      </c>
    </row>
    <row r="67" spans="1:19">
      <c r="A67" t="s">
        <v>275</v>
      </c>
      <c r="B67">
        <v>7.8</v>
      </c>
      <c r="C67">
        <v>2.9</v>
      </c>
      <c r="D67">
        <f>SUM(B67:C67)</f>
        <v>10.7</v>
      </c>
      <c r="E67">
        <v>22.2</v>
      </c>
      <c r="F67">
        <v>9.1999999999999993</v>
      </c>
      <c r="G67">
        <f>SUM(E67:F67)</f>
        <v>31.4</v>
      </c>
      <c r="H67">
        <v>6.3</v>
      </c>
      <c r="I67">
        <v>2.1</v>
      </c>
      <c r="J67">
        <f>SUM(H67:I67)</f>
        <v>8.4</v>
      </c>
      <c r="K67">
        <v>39.6</v>
      </c>
      <c r="L67">
        <v>12.6</v>
      </c>
      <c r="M67">
        <f>SUM(K67:L67)</f>
        <v>52.2</v>
      </c>
      <c r="N67">
        <v>10.5</v>
      </c>
      <c r="O67">
        <v>3.3</v>
      </c>
      <c r="P67">
        <f>SUM(N67:O67)</f>
        <v>13.8</v>
      </c>
      <c r="Q67">
        <v>119</v>
      </c>
      <c r="R67">
        <v>50</v>
      </c>
      <c r="S67">
        <f>SUM(Q67:R67)</f>
        <v>169</v>
      </c>
    </row>
    <row r="68" spans="1:19">
      <c r="A68" t="s">
        <v>276</v>
      </c>
      <c r="B68">
        <v>33.799999999999997</v>
      </c>
      <c r="C68">
        <v>16.3</v>
      </c>
      <c r="D68">
        <f t="shared" ref="D68:D81" si="0">SUM(B68:C68)</f>
        <v>50.099999999999994</v>
      </c>
      <c r="E68">
        <v>94.9</v>
      </c>
      <c r="F68">
        <v>33</v>
      </c>
      <c r="G68">
        <f t="shared" ref="G68:G77" si="1">SUM(E68:F68)</f>
        <v>127.9</v>
      </c>
      <c r="H68">
        <v>18.5</v>
      </c>
      <c r="I68">
        <v>5.3</v>
      </c>
      <c r="J68">
        <f t="shared" ref="J68:J77" si="2">SUM(H68:I68)</f>
        <v>23.8</v>
      </c>
      <c r="K68">
        <v>58.2</v>
      </c>
      <c r="L68">
        <v>16</v>
      </c>
      <c r="M68">
        <f t="shared" ref="M68:M77" si="3">SUM(K68:L68)</f>
        <v>74.2</v>
      </c>
      <c r="N68">
        <v>11.8</v>
      </c>
      <c r="O68">
        <v>3.7</v>
      </c>
      <c r="P68">
        <f t="shared" ref="P68:P77" si="4">SUM(N68:O68)</f>
        <v>15.5</v>
      </c>
      <c r="Q68">
        <v>129</v>
      </c>
      <c r="R68">
        <v>24.9</v>
      </c>
      <c r="S68">
        <f t="shared" ref="S68:S77" si="5">SUM(Q68:R68)</f>
        <v>153.9</v>
      </c>
    </row>
    <row r="69" spans="1:19">
      <c r="A69" t="s">
        <v>277</v>
      </c>
      <c r="B69">
        <v>0.54</v>
      </c>
      <c r="C69">
        <v>0.01</v>
      </c>
      <c r="D69">
        <f t="shared" si="0"/>
        <v>0.55000000000000004</v>
      </c>
      <c r="E69">
        <v>2.0299999999999998</v>
      </c>
      <c r="F69">
        <v>0.1</v>
      </c>
      <c r="G69">
        <f t="shared" si="1"/>
        <v>2.13</v>
      </c>
      <c r="H69">
        <v>0.61</v>
      </c>
      <c r="I69" t="s">
        <v>801</v>
      </c>
      <c r="J69">
        <f t="shared" si="2"/>
        <v>0.61</v>
      </c>
      <c r="K69">
        <v>1.71</v>
      </c>
      <c r="L69">
        <v>0.02</v>
      </c>
      <c r="M69">
        <f t="shared" si="3"/>
        <v>1.73</v>
      </c>
      <c r="N69">
        <v>0.46</v>
      </c>
      <c r="O69">
        <v>0</v>
      </c>
      <c r="P69">
        <f t="shared" si="4"/>
        <v>0.46</v>
      </c>
      <c r="Q69">
        <v>3.48</v>
      </c>
      <c r="R69">
        <v>0.06</v>
      </c>
      <c r="S69">
        <f t="shared" si="5"/>
        <v>3.54</v>
      </c>
    </row>
    <row r="70" spans="1:19">
      <c r="A70" t="s">
        <v>278</v>
      </c>
      <c r="B70">
        <v>3.35</v>
      </c>
      <c r="C70">
        <v>0.08</v>
      </c>
      <c r="D70">
        <f t="shared" si="0"/>
        <v>3.43</v>
      </c>
      <c r="E70">
        <v>2.31</v>
      </c>
      <c r="F70">
        <v>0.06</v>
      </c>
      <c r="G70">
        <f t="shared" si="1"/>
        <v>2.37</v>
      </c>
      <c r="H70">
        <v>0.62</v>
      </c>
      <c r="I70">
        <v>0.02</v>
      </c>
      <c r="J70">
        <f t="shared" si="2"/>
        <v>0.64</v>
      </c>
      <c r="K70">
        <v>1.42</v>
      </c>
      <c r="L70">
        <v>0.02</v>
      </c>
      <c r="M70">
        <f t="shared" si="3"/>
        <v>1.44</v>
      </c>
      <c r="N70">
        <v>0.19</v>
      </c>
      <c r="O70">
        <v>0</v>
      </c>
      <c r="P70">
        <f t="shared" si="4"/>
        <v>0.19</v>
      </c>
      <c r="Q70">
        <v>3.51</v>
      </c>
      <c r="R70">
        <v>0.09</v>
      </c>
      <c r="S70">
        <f t="shared" si="5"/>
        <v>3.5999999999999996</v>
      </c>
    </row>
    <row r="71" spans="1:19">
      <c r="A71" t="s">
        <v>279</v>
      </c>
      <c r="B71">
        <v>0.14000000000000001</v>
      </c>
      <c r="C71">
        <v>0.23</v>
      </c>
      <c r="D71">
        <f t="shared" si="0"/>
        <v>0.37</v>
      </c>
      <c r="E71">
        <v>1.45</v>
      </c>
      <c r="F71">
        <v>2.41</v>
      </c>
      <c r="G71">
        <f t="shared" si="1"/>
        <v>3.8600000000000003</v>
      </c>
      <c r="H71">
        <v>0.13</v>
      </c>
      <c r="I71">
        <v>0.21</v>
      </c>
      <c r="J71">
        <f t="shared" si="2"/>
        <v>0.33999999999999997</v>
      </c>
      <c r="K71">
        <v>0.33</v>
      </c>
      <c r="L71">
        <v>0.55000000000000004</v>
      </c>
      <c r="M71">
        <f t="shared" si="3"/>
        <v>0.88000000000000012</v>
      </c>
      <c r="N71">
        <v>0.08</v>
      </c>
      <c r="O71">
        <v>0.13</v>
      </c>
      <c r="P71">
        <f t="shared" si="4"/>
        <v>0.21000000000000002</v>
      </c>
      <c r="Q71">
        <v>0.98</v>
      </c>
      <c r="R71">
        <v>1.63</v>
      </c>
      <c r="S71">
        <f t="shared" si="5"/>
        <v>2.61</v>
      </c>
    </row>
    <row r="72" spans="1:19">
      <c r="A72" t="s">
        <v>280</v>
      </c>
      <c r="B72">
        <v>2.2999999999999998</v>
      </c>
      <c r="C72">
        <v>3.82</v>
      </c>
      <c r="D72">
        <f t="shared" si="0"/>
        <v>6.1199999999999992</v>
      </c>
      <c r="E72">
        <v>2.15</v>
      </c>
      <c r="F72">
        <v>3.56</v>
      </c>
      <c r="G72">
        <f t="shared" si="1"/>
        <v>5.71</v>
      </c>
      <c r="H72">
        <v>0.47</v>
      </c>
      <c r="I72">
        <v>0.77</v>
      </c>
      <c r="J72">
        <f t="shared" si="2"/>
        <v>1.24</v>
      </c>
      <c r="K72">
        <v>0.82</v>
      </c>
      <c r="L72">
        <v>1.36</v>
      </c>
      <c r="M72">
        <f t="shared" si="3"/>
        <v>2.1800000000000002</v>
      </c>
      <c r="N72">
        <v>0.06</v>
      </c>
      <c r="O72">
        <v>0.1</v>
      </c>
      <c r="P72">
        <f t="shared" si="4"/>
        <v>0.16</v>
      </c>
      <c r="Q72">
        <v>2.42</v>
      </c>
      <c r="R72">
        <v>4.01</v>
      </c>
      <c r="S72">
        <f t="shared" si="5"/>
        <v>6.43</v>
      </c>
    </row>
    <row r="73" spans="1:19">
      <c r="A73" t="s">
        <v>281</v>
      </c>
      <c r="B73">
        <v>10.6</v>
      </c>
      <c r="C73">
        <v>7.4</v>
      </c>
      <c r="D73">
        <f t="shared" si="0"/>
        <v>18</v>
      </c>
      <c r="E73">
        <v>58.5</v>
      </c>
      <c r="F73">
        <v>60.8</v>
      </c>
      <c r="G73">
        <f t="shared" si="1"/>
        <v>119.3</v>
      </c>
      <c r="H73">
        <v>4.5</v>
      </c>
      <c r="I73">
        <v>3.4</v>
      </c>
      <c r="J73">
        <f t="shared" si="2"/>
        <v>7.9</v>
      </c>
      <c r="K73">
        <v>14.1</v>
      </c>
      <c r="L73">
        <v>9.5</v>
      </c>
      <c r="M73">
        <f t="shared" si="3"/>
        <v>23.6</v>
      </c>
      <c r="N73">
        <v>3.3</v>
      </c>
      <c r="O73">
        <v>2.2000000000000002</v>
      </c>
      <c r="P73">
        <f t="shared" si="4"/>
        <v>5.5</v>
      </c>
      <c r="Q73">
        <v>30.5</v>
      </c>
      <c r="R73">
        <v>28.4</v>
      </c>
      <c r="S73">
        <f t="shared" si="5"/>
        <v>58.9</v>
      </c>
    </row>
    <row r="74" spans="1:19">
      <c r="A74" t="s">
        <v>282</v>
      </c>
      <c r="B74">
        <v>112.2</v>
      </c>
      <c r="C74">
        <v>108.7</v>
      </c>
      <c r="D74">
        <f t="shared" si="0"/>
        <v>220.9</v>
      </c>
      <c r="E74">
        <v>77</v>
      </c>
      <c r="F74">
        <v>72.599999999999994</v>
      </c>
      <c r="G74">
        <f t="shared" si="1"/>
        <v>149.6</v>
      </c>
      <c r="H74">
        <v>19.399999999999999</v>
      </c>
      <c r="I74">
        <v>19.100000000000001</v>
      </c>
      <c r="J74">
        <f t="shared" si="2"/>
        <v>38.5</v>
      </c>
      <c r="K74">
        <v>36.6</v>
      </c>
      <c r="L74">
        <v>28</v>
      </c>
      <c r="M74">
        <f t="shared" si="3"/>
        <v>64.599999999999994</v>
      </c>
      <c r="N74">
        <v>2.9</v>
      </c>
      <c r="O74">
        <v>2.7</v>
      </c>
      <c r="P74">
        <f t="shared" si="4"/>
        <v>5.6</v>
      </c>
      <c r="Q74">
        <v>117.8</v>
      </c>
      <c r="R74">
        <v>114.1</v>
      </c>
      <c r="S74">
        <f t="shared" si="5"/>
        <v>231.89999999999998</v>
      </c>
    </row>
    <row r="75" spans="1:19">
      <c r="A75" t="s">
        <v>283</v>
      </c>
      <c r="B75">
        <v>12.3</v>
      </c>
      <c r="C75">
        <v>11.6</v>
      </c>
      <c r="D75">
        <f t="shared" si="0"/>
        <v>23.9</v>
      </c>
      <c r="E75">
        <v>13.6</v>
      </c>
      <c r="F75">
        <v>13.3</v>
      </c>
      <c r="G75">
        <f t="shared" si="1"/>
        <v>26.9</v>
      </c>
      <c r="H75">
        <v>2.4</v>
      </c>
      <c r="I75">
        <v>2.1</v>
      </c>
      <c r="J75">
        <f t="shared" si="2"/>
        <v>4.5</v>
      </c>
      <c r="K75">
        <v>5.0999999999999996</v>
      </c>
      <c r="L75">
        <v>3.8</v>
      </c>
      <c r="M75">
        <f t="shared" si="3"/>
        <v>8.8999999999999986</v>
      </c>
      <c r="N75">
        <v>0.6</v>
      </c>
      <c r="O75">
        <v>0.5</v>
      </c>
      <c r="P75">
        <f t="shared" si="4"/>
        <v>1.1000000000000001</v>
      </c>
      <c r="Q75">
        <v>14.8</v>
      </c>
      <c r="R75">
        <v>14.3</v>
      </c>
      <c r="S75">
        <f t="shared" si="5"/>
        <v>29.1</v>
      </c>
    </row>
    <row r="76" spans="1:19">
      <c r="A76" t="s">
        <v>284</v>
      </c>
      <c r="B76">
        <v>26</v>
      </c>
      <c r="C76">
        <v>22.2</v>
      </c>
      <c r="D76">
        <f t="shared" si="0"/>
        <v>48.2</v>
      </c>
      <c r="E76">
        <v>19.600000000000001</v>
      </c>
      <c r="F76">
        <v>18.7</v>
      </c>
      <c r="G76">
        <f t="shared" si="1"/>
        <v>38.299999999999997</v>
      </c>
      <c r="H76">
        <v>6.8</v>
      </c>
      <c r="I76">
        <v>5.4</v>
      </c>
      <c r="J76">
        <f t="shared" si="2"/>
        <v>12.2</v>
      </c>
      <c r="K76">
        <v>27.8</v>
      </c>
      <c r="L76">
        <v>19.100000000000001</v>
      </c>
      <c r="M76">
        <f t="shared" si="3"/>
        <v>46.900000000000006</v>
      </c>
      <c r="N76">
        <v>3.5</v>
      </c>
      <c r="O76">
        <v>2.2999999999999998</v>
      </c>
      <c r="P76">
        <f t="shared" si="4"/>
        <v>5.8</v>
      </c>
      <c r="Q76">
        <v>42.1</v>
      </c>
      <c r="R76">
        <v>37.299999999999997</v>
      </c>
      <c r="S76">
        <f t="shared" si="5"/>
        <v>79.400000000000006</v>
      </c>
    </row>
    <row r="77" spans="1:19">
      <c r="A77" t="s">
        <v>285</v>
      </c>
      <c r="B77">
        <v>3.4</v>
      </c>
      <c r="C77">
        <v>3.9</v>
      </c>
      <c r="D77">
        <f t="shared" si="0"/>
        <v>7.3</v>
      </c>
      <c r="E77">
        <v>2.9</v>
      </c>
      <c r="F77">
        <v>3.2</v>
      </c>
      <c r="G77">
        <f t="shared" si="1"/>
        <v>6.1</v>
      </c>
      <c r="H77">
        <v>1.1000000000000001</v>
      </c>
      <c r="I77">
        <v>1.2</v>
      </c>
      <c r="J77">
        <f t="shared" si="2"/>
        <v>2.2999999999999998</v>
      </c>
      <c r="K77">
        <v>6</v>
      </c>
      <c r="L77">
        <v>6.8</v>
      </c>
      <c r="M77">
        <f t="shared" si="3"/>
        <v>12.8</v>
      </c>
      <c r="N77">
        <v>2.2000000000000002</v>
      </c>
      <c r="O77">
        <v>2.5</v>
      </c>
      <c r="P77">
        <f t="shared" si="4"/>
        <v>4.7</v>
      </c>
      <c r="Q77">
        <v>20.100000000000001</v>
      </c>
      <c r="R77">
        <v>22.7</v>
      </c>
      <c r="S77">
        <f t="shared" si="5"/>
        <v>42.8</v>
      </c>
    </row>
    <row r="79" spans="1:19">
      <c r="A79" t="s">
        <v>800</v>
      </c>
      <c r="B79">
        <v>122.8</v>
      </c>
      <c r="C79">
        <v>166.1</v>
      </c>
      <c r="D79">
        <f t="shared" si="0"/>
        <v>288.89999999999998</v>
      </c>
      <c r="E79">
        <v>135.5</v>
      </c>
      <c r="F79">
        <v>133.4</v>
      </c>
      <c r="G79">
        <f>SUM(E79:F79)</f>
        <v>268.89999999999998</v>
      </c>
      <c r="H79">
        <v>23.8</v>
      </c>
      <c r="I79">
        <v>22.5</v>
      </c>
      <c r="J79">
        <f>SUM(H79:I79)</f>
        <v>46.3</v>
      </c>
      <c r="K79">
        <v>50.7</v>
      </c>
      <c r="L79">
        <v>37.5</v>
      </c>
      <c r="M79">
        <f>SUM(K79:L79)</f>
        <v>88.2</v>
      </c>
      <c r="N79">
        <v>6.2</v>
      </c>
      <c r="O79">
        <v>4.9000000000000004</v>
      </c>
      <c r="P79">
        <f>SUM(N79:O79)</f>
        <v>11.100000000000001</v>
      </c>
      <c r="Q79">
        <v>148.30000000000001</v>
      </c>
      <c r="R79">
        <v>142.5</v>
      </c>
      <c r="S79">
        <f>SUM(Q79:R79)</f>
        <v>290.8</v>
      </c>
    </row>
    <row r="80" spans="1:19">
      <c r="A80" t="s">
        <v>292</v>
      </c>
      <c r="B80">
        <v>183.1</v>
      </c>
      <c r="C80">
        <v>151</v>
      </c>
      <c r="D80">
        <f t="shared" si="0"/>
        <v>334.1</v>
      </c>
      <c r="E80">
        <v>274</v>
      </c>
      <c r="F80">
        <v>195</v>
      </c>
      <c r="G80">
        <f>SUM(E80:F80)</f>
        <v>469</v>
      </c>
      <c r="H80">
        <v>52.8</v>
      </c>
      <c r="I80">
        <v>33</v>
      </c>
      <c r="J80">
        <f>SUM(H80:I80)</f>
        <v>85.8</v>
      </c>
      <c r="K80">
        <v>157.80000000000001</v>
      </c>
      <c r="L80">
        <v>71.900000000000006</v>
      </c>
      <c r="M80">
        <f>SUM(K80:L80)</f>
        <v>229.70000000000002</v>
      </c>
      <c r="N80">
        <v>29.9</v>
      </c>
      <c r="O80">
        <v>12.6</v>
      </c>
      <c r="P80">
        <f>SUM(N80:O80)</f>
        <v>42.5</v>
      </c>
      <c r="Q80">
        <v>421.5</v>
      </c>
      <c r="R80">
        <v>237.4</v>
      </c>
      <c r="S80">
        <f>SUM(Q80:R80)</f>
        <v>658.9</v>
      </c>
    </row>
    <row r="81" spans="1:19">
      <c r="A81" t="s">
        <v>293</v>
      </c>
      <c r="B81">
        <v>212.5</v>
      </c>
      <c r="C81">
        <v>177.1</v>
      </c>
      <c r="D81">
        <f t="shared" si="0"/>
        <v>389.6</v>
      </c>
      <c r="E81">
        <v>296.5</v>
      </c>
      <c r="F81">
        <v>217</v>
      </c>
      <c r="G81">
        <f>SUM(E81:F81)</f>
        <v>513.5</v>
      </c>
      <c r="H81">
        <v>60.6</v>
      </c>
      <c r="I81">
        <v>39.6</v>
      </c>
      <c r="J81">
        <f>SUM(H81:I81)</f>
        <v>100.2</v>
      </c>
      <c r="K81">
        <v>191.6</v>
      </c>
      <c r="L81">
        <v>97.7</v>
      </c>
      <c r="M81">
        <f>SUM(K81:L81)</f>
        <v>289.3</v>
      </c>
      <c r="N81">
        <v>35.6</v>
      </c>
      <c r="O81">
        <v>17.5</v>
      </c>
      <c r="P81">
        <f>SUM(N81:O81)</f>
        <v>53.1</v>
      </c>
      <c r="Q81">
        <v>483.7</v>
      </c>
      <c r="R81">
        <v>297.39999999999998</v>
      </c>
      <c r="S81">
        <f>SUM(Q81:R81)</f>
        <v>781.09999999999991</v>
      </c>
    </row>
    <row r="83" spans="1:19">
      <c r="A83" t="s">
        <v>267</v>
      </c>
    </row>
  </sheetData>
  <mergeCells count="9">
    <mergeCell ref="B22:D22"/>
    <mergeCell ref="E22:G22"/>
    <mergeCell ref="H22:J22"/>
    <mergeCell ref="N65:P65"/>
    <mergeCell ref="Q65:S65"/>
    <mergeCell ref="B65:D65"/>
    <mergeCell ref="E65:G65"/>
    <mergeCell ref="H65:J65"/>
    <mergeCell ref="K65:M65"/>
  </mergeCells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I218"/>
  <sheetViews>
    <sheetView topLeftCell="W1" workbookViewId="0">
      <selection activeCell="AA6" sqref="AA6"/>
    </sheetView>
  </sheetViews>
  <sheetFormatPr baseColWidth="10" defaultRowHeight="12.75"/>
  <cols>
    <col min="1" max="1" width="5" customWidth="1"/>
    <col min="2" max="2" width="16.28515625" customWidth="1"/>
    <col min="3" max="3" width="5.42578125" customWidth="1"/>
    <col min="4" max="4" width="6.85546875" customWidth="1"/>
    <col min="5" max="5" width="9.140625" customWidth="1"/>
    <col min="6" max="7" width="5.28515625" customWidth="1"/>
    <col min="8" max="8" width="6.5703125" customWidth="1"/>
    <col min="9" max="9" width="6.42578125" customWidth="1"/>
    <col min="10" max="10" width="8.7109375" customWidth="1"/>
    <col min="11" max="11" width="6.42578125" customWidth="1"/>
    <col min="12" max="12" width="7" customWidth="1"/>
    <col min="13" max="13" width="7.28515625" customWidth="1"/>
    <col min="14" max="14" width="8" customWidth="1"/>
    <col min="15" max="15" width="10.85546875" customWidth="1"/>
    <col min="16" max="16" width="7.85546875" customWidth="1"/>
    <col min="17" max="17" width="7.5703125" customWidth="1"/>
    <col min="18" max="18" width="6.42578125" customWidth="1"/>
    <col min="19" max="19" width="6.28515625" customWidth="1"/>
    <col min="20" max="20" width="6.7109375" customWidth="1"/>
    <col min="21" max="21" width="6.5703125" customWidth="1"/>
    <col min="22" max="22" width="5" customWidth="1"/>
    <col min="23" max="23" width="6.42578125" customWidth="1"/>
    <col min="24" max="24" width="8.140625" customWidth="1"/>
    <col min="25" max="25" width="8.5703125" customWidth="1"/>
    <col min="35" max="35" width="11.42578125" style="94"/>
  </cols>
  <sheetData>
    <row r="1" spans="1:35">
      <c r="A1" s="107" t="s">
        <v>1321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 t="s">
        <v>1454</v>
      </c>
      <c r="P1" s="2"/>
      <c r="Q1" s="2"/>
      <c r="R1" s="2"/>
      <c r="S1" s="2"/>
      <c r="T1" s="2"/>
      <c r="U1" s="2"/>
      <c r="V1" s="2"/>
      <c r="W1" s="2"/>
      <c r="X1" s="2"/>
      <c r="Y1" s="2"/>
      <c r="AA1" t="s">
        <v>1531</v>
      </c>
      <c r="AB1" t="s">
        <v>1532</v>
      </c>
      <c r="AC1" t="s">
        <v>1533</v>
      </c>
    </row>
    <row r="2" spans="1:3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35" s="13" customFormat="1" ht="45.75" customHeight="1">
      <c r="A3" s="10" t="s">
        <v>1466</v>
      </c>
      <c r="B3" s="288" t="s">
        <v>1322</v>
      </c>
      <c r="C3" s="10" t="s">
        <v>1464</v>
      </c>
      <c r="D3" s="288" t="s">
        <v>1662</v>
      </c>
      <c r="E3" s="10" t="s">
        <v>1468</v>
      </c>
      <c r="F3" s="288" t="s">
        <v>1516</v>
      </c>
      <c r="G3" s="288" t="s">
        <v>1517</v>
      </c>
      <c r="H3" s="295" t="s">
        <v>1323</v>
      </c>
      <c r="I3" s="296"/>
      <c r="J3" s="297"/>
      <c r="K3" s="301" t="s">
        <v>1324</v>
      </c>
      <c r="L3" s="297"/>
      <c r="M3" s="301" t="s">
        <v>1325</v>
      </c>
      <c r="N3" s="297"/>
      <c r="O3" s="291" t="s">
        <v>1455</v>
      </c>
      <c r="P3" s="292"/>
      <c r="Q3" s="292"/>
      <c r="R3" s="292"/>
      <c r="S3" s="293"/>
      <c r="T3" s="12" t="s">
        <v>1456</v>
      </c>
      <c r="U3" s="12"/>
      <c r="V3" s="12"/>
      <c r="W3" s="10" t="s">
        <v>1473</v>
      </c>
      <c r="X3" s="288" t="s">
        <v>1471</v>
      </c>
      <c r="Y3" s="288" t="s">
        <v>1470</v>
      </c>
      <c r="AA3">
        <v>35</v>
      </c>
      <c r="AB3">
        <v>2.5</v>
      </c>
      <c r="AC3">
        <v>12</v>
      </c>
      <c r="AE3">
        <v>16</v>
      </c>
      <c r="AF3">
        <v>8.5902321223157738</v>
      </c>
      <c r="AI3" s="95" t="s">
        <v>1546</v>
      </c>
    </row>
    <row r="4" spans="1:35" s="13" customFormat="1" ht="48" customHeight="1">
      <c r="A4" s="14"/>
      <c r="B4" s="289"/>
      <c r="C4" s="14"/>
      <c r="D4" s="290"/>
      <c r="E4" s="14"/>
      <c r="F4" s="289"/>
      <c r="G4" s="289"/>
      <c r="H4" s="298"/>
      <c r="I4" s="299"/>
      <c r="J4" s="300"/>
      <c r="K4" s="298"/>
      <c r="L4" s="300"/>
      <c r="M4" s="298"/>
      <c r="N4" s="300"/>
      <c r="O4" s="5" t="s">
        <v>1479</v>
      </c>
      <c r="P4" s="11" t="s">
        <v>1671</v>
      </c>
      <c r="Q4" s="291" t="s">
        <v>1457</v>
      </c>
      <c r="R4" s="292"/>
      <c r="S4" s="293"/>
      <c r="T4" s="11" t="s">
        <v>1476</v>
      </c>
      <c r="U4" s="11" t="s">
        <v>1475</v>
      </c>
      <c r="V4" s="11" t="s">
        <v>1474</v>
      </c>
      <c r="W4" s="17"/>
      <c r="X4" s="294"/>
      <c r="Y4" s="294"/>
      <c r="AA4">
        <v>14</v>
      </c>
      <c r="AB4">
        <v>0.04</v>
      </c>
      <c r="AC4">
        <v>0.1</v>
      </c>
      <c r="AE4">
        <v>0.28000000000000003</v>
      </c>
      <c r="AF4">
        <v>6.7181648890401902E-2</v>
      </c>
      <c r="AI4" s="95"/>
    </row>
    <row r="5" spans="1:35" s="13" customFormat="1" ht="39" customHeight="1">
      <c r="A5" s="15" t="s">
        <v>1467</v>
      </c>
      <c r="B5" s="290"/>
      <c r="C5" s="15" t="s">
        <v>1661</v>
      </c>
      <c r="D5" s="11" t="s">
        <v>1663</v>
      </c>
      <c r="E5" s="15" t="s">
        <v>1664</v>
      </c>
      <c r="F5" s="290"/>
      <c r="G5" s="290"/>
      <c r="H5" s="11" t="s">
        <v>1665</v>
      </c>
      <c r="I5" s="11" t="s">
        <v>1657</v>
      </c>
      <c r="J5" s="11" t="s">
        <v>1666</v>
      </c>
      <c r="K5" s="11" t="s">
        <v>1667</v>
      </c>
      <c r="L5" s="11" t="s">
        <v>1330</v>
      </c>
      <c r="M5" s="11" t="s">
        <v>1668</v>
      </c>
      <c r="N5" s="11" t="s">
        <v>1669</v>
      </c>
      <c r="O5" s="108" t="s">
        <v>1670</v>
      </c>
      <c r="P5" s="108" t="s">
        <v>1672</v>
      </c>
      <c r="Q5" s="11" t="s">
        <v>1673</v>
      </c>
      <c r="R5" s="11" t="s">
        <v>1674</v>
      </c>
      <c r="S5" s="11" t="s">
        <v>1627</v>
      </c>
      <c r="T5" s="11" t="s">
        <v>1675</v>
      </c>
      <c r="U5" s="11" t="s">
        <v>1676</v>
      </c>
      <c r="V5" s="11" t="s">
        <v>1670</v>
      </c>
      <c r="W5" s="18" t="s">
        <v>1670</v>
      </c>
      <c r="X5" s="18" t="s">
        <v>1677</v>
      </c>
      <c r="Y5" s="18" t="s">
        <v>1670</v>
      </c>
      <c r="AA5">
        <v>0.9</v>
      </c>
      <c r="AB5">
        <v>-0.9</v>
      </c>
      <c r="AC5">
        <v>-0.51725538771116597</v>
      </c>
      <c r="AE5">
        <v>-0.51725538771116597</v>
      </c>
      <c r="AF5">
        <v>-0.51725538771116597</v>
      </c>
      <c r="AH5" s="13">
        <v>6</v>
      </c>
      <c r="AI5" s="95"/>
    </row>
    <row r="6" spans="1:35">
      <c r="A6" s="4">
        <v>1</v>
      </c>
      <c r="B6" s="6" t="s">
        <v>1333</v>
      </c>
      <c r="C6" s="4">
        <v>12</v>
      </c>
      <c r="D6" s="4">
        <v>2.6</v>
      </c>
      <c r="E6" s="4">
        <v>2.8</v>
      </c>
      <c r="F6" s="4" t="s">
        <v>1518</v>
      </c>
      <c r="G6" s="4" t="s">
        <v>1525</v>
      </c>
      <c r="H6" s="4">
        <v>1.4</v>
      </c>
      <c r="I6" s="4">
        <v>2.14</v>
      </c>
      <c r="J6" s="4">
        <v>3.54</v>
      </c>
      <c r="K6" s="4">
        <v>44</v>
      </c>
      <c r="L6" s="4">
        <v>27</v>
      </c>
      <c r="M6" s="4">
        <v>172</v>
      </c>
      <c r="N6" s="4">
        <v>176</v>
      </c>
      <c r="O6" s="4">
        <v>0.94</v>
      </c>
      <c r="P6" s="4">
        <v>53900</v>
      </c>
      <c r="Q6" s="4">
        <v>1.36</v>
      </c>
      <c r="R6" s="4">
        <v>7.3</v>
      </c>
      <c r="S6" s="4">
        <v>7</v>
      </c>
      <c r="T6" s="4"/>
      <c r="U6" s="4"/>
      <c r="V6" s="4"/>
      <c r="W6" s="4">
        <v>0.34</v>
      </c>
      <c r="X6" s="4"/>
      <c r="Y6" s="4"/>
      <c r="AA6">
        <f>$AB$3/($AB$4+W6^$AB$5)</f>
        <v>0.93269819788820507</v>
      </c>
      <c r="AB6">
        <f t="shared" ref="AB6:AB69" si="0">(E6-AA6)^2</f>
        <v>3.4868160201699561</v>
      </c>
      <c r="AC6">
        <f>W6/O6</f>
        <v>0.36170212765957449</v>
      </c>
      <c r="AD6">
        <f>W6*(1+N6/100)-O6</f>
        <v>-1.5999999999999348E-3</v>
      </c>
      <c r="AF6">
        <v>0.01</v>
      </c>
      <c r="AG6">
        <f>$AA$3*AF6/($AA$4+AF6^$AA$5)</f>
        <v>2.4971730338986978E-2</v>
      </c>
      <c r="AH6">
        <f>AH$5*AF6^0.5</f>
        <v>0.60000000000000009</v>
      </c>
      <c r="AI6" s="94">
        <f>D6/C6</f>
        <v>0.21666666666666667</v>
      </c>
    </row>
    <row r="7" spans="1:35">
      <c r="A7" s="4">
        <v>2</v>
      </c>
      <c r="B7" s="4" t="s">
        <v>1520</v>
      </c>
      <c r="C7" s="4">
        <v>12</v>
      </c>
      <c r="D7" s="4">
        <v>3.3</v>
      </c>
      <c r="E7" s="4">
        <v>3.1</v>
      </c>
      <c r="F7" s="4" t="s">
        <v>1519</v>
      </c>
      <c r="G7" s="4" t="s">
        <v>1524</v>
      </c>
      <c r="H7" s="4">
        <v>4</v>
      </c>
      <c r="I7" s="4">
        <v>5.51</v>
      </c>
      <c r="J7" s="4">
        <v>9.51</v>
      </c>
      <c r="K7" s="4">
        <v>46</v>
      </c>
      <c r="L7" s="4">
        <v>27</v>
      </c>
      <c r="M7" s="4">
        <v>174</v>
      </c>
      <c r="N7" s="4">
        <v>169</v>
      </c>
      <c r="O7" s="4">
        <v>2.5299999999999998</v>
      </c>
      <c r="P7" s="4">
        <v>48200</v>
      </c>
      <c r="Q7" s="4">
        <v>1.31</v>
      </c>
      <c r="R7" s="4">
        <v>6.3</v>
      </c>
      <c r="S7" s="4">
        <v>16</v>
      </c>
      <c r="T7" s="4"/>
      <c r="U7" s="4"/>
      <c r="V7" s="4"/>
      <c r="W7" s="4">
        <v>0.94</v>
      </c>
      <c r="X7" s="4"/>
      <c r="Y7" s="4"/>
      <c r="AA7">
        <f t="shared" ref="AA7:AA70" si="1">$AB$3/($AB$4+W7^$AB$5)</f>
        <v>2.2783867434554796</v>
      </c>
      <c r="AB7">
        <f t="shared" si="0"/>
        <v>0.67504834332969199</v>
      </c>
      <c r="AC7">
        <f t="shared" ref="AC7:AC70" si="2">W7/O7</f>
        <v>0.3715415019762846</v>
      </c>
      <c r="AD7">
        <f t="shared" ref="AD7:AD70" si="3">W7*(1+N7/100)-O7</f>
        <v>-1.3999999999998458E-3</v>
      </c>
      <c r="AF7">
        <v>0.5</v>
      </c>
      <c r="AG7">
        <f t="shared" ref="AG7:AG39" si="4">$AA$3*AF7/($AA$4+AF7^$AA$5)</f>
        <v>1.203916921171087</v>
      </c>
      <c r="AH7">
        <f t="shared" ref="AH7:AH39" si="5">AH$5*AF7^0.5</f>
        <v>4.2426406871192857</v>
      </c>
      <c r="AI7" s="94">
        <f t="shared" ref="AI7:AI70" si="6">D7/C7</f>
        <v>0.27499999999999997</v>
      </c>
    </row>
    <row r="8" spans="1:35">
      <c r="A8" s="4">
        <v>3</v>
      </c>
      <c r="B8" s="6" t="s">
        <v>1521</v>
      </c>
      <c r="C8" s="4">
        <v>18</v>
      </c>
      <c r="D8" s="4">
        <v>13.8</v>
      </c>
      <c r="E8" s="4">
        <v>7.4</v>
      </c>
      <c r="F8" s="4" t="s">
        <v>1519</v>
      </c>
      <c r="G8" s="4" t="s">
        <v>1525</v>
      </c>
      <c r="H8" s="4">
        <v>5</v>
      </c>
      <c r="I8" s="4">
        <v>46.53</v>
      </c>
      <c r="J8" s="4">
        <v>51.53</v>
      </c>
      <c r="K8" s="4">
        <v>34</v>
      </c>
      <c r="L8" s="4">
        <v>31</v>
      </c>
      <c r="M8" s="4">
        <v>150</v>
      </c>
      <c r="N8" s="4">
        <v>163</v>
      </c>
      <c r="O8" s="4">
        <v>15.83</v>
      </c>
      <c r="P8" s="4">
        <v>38100</v>
      </c>
      <c r="Q8" s="4">
        <v>1.58</v>
      </c>
      <c r="R8" s="4">
        <v>6</v>
      </c>
      <c r="S8" s="4">
        <v>95</v>
      </c>
      <c r="T8" s="4"/>
      <c r="U8" s="4"/>
      <c r="V8" s="4"/>
      <c r="W8" s="4">
        <v>6.03</v>
      </c>
      <c r="X8" s="4"/>
      <c r="Y8" s="4"/>
      <c r="AA8">
        <f t="shared" si="1"/>
        <v>10.483106228603413</v>
      </c>
      <c r="AB8">
        <f t="shared" si="0"/>
        <v>9.5055440168531575</v>
      </c>
      <c r="AC8">
        <f t="shared" si="2"/>
        <v>0.38092229943145928</v>
      </c>
      <c r="AD8">
        <f t="shared" si="3"/>
        <v>2.8900000000000148E-2</v>
      </c>
      <c r="AF8">
        <v>1</v>
      </c>
      <c r="AG8">
        <f t="shared" si="4"/>
        <v>2.3333333333333335</v>
      </c>
      <c r="AH8">
        <f t="shared" si="5"/>
        <v>6</v>
      </c>
      <c r="AI8" s="94">
        <f t="shared" si="6"/>
        <v>0.76666666666666672</v>
      </c>
    </row>
    <row r="9" spans="1:35">
      <c r="A9" s="4">
        <v>4</v>
      </c>
      <c r="B9" s="4" t="s">
        <v>1334</v>
      </c>
      <c r="C9" s="4">
        <v>19</v>
      </c>
      <c r="D9" s="4">
        <v>4.8</v>
      </c>
      <c r="E9" s="4">
        <v>5.6</v>
      </c>
      <c r="F9" s="4" t="s">
        <v>1522</v>
      </c>
      <c r="G9" s="4" t="s">
        <v>1529</v>
      </c>
      <c r="H9" s="4">
        <v>6.95</v>
      </c>
      <c r="I9" s="4">
        <v>2.25</v>
      </c>
      <c r="J9" s="4">
        <v>9.1999999999999993</v>
      </c>
      <c r="K9" s="4">
        <v>37</v>
      </c>
      <c r="L9" s="9">
        <v>9</v>
      </c>
      <c r="M9" s="4">
        <v>150</v>
      </c>
      <c r="N9" s="4">
        <v>177</v>
      </c>
      <c r="O9" s="4">
        <v>0.83</v>
      </c>
      <c r="P9" s="4">
        <v>39400</v>
      </c>
      <c r="Q9" s="4">
        <v>1.18</v>
      </c>
      <c r="R9" s="4">
        <v>4.7</v>
      </c>
      <c r="S9" s="4">
        <v>4</v>
      </c>
      <c r="T9" s="4">
        <v>0.8</v>
      </c>
      <c r="U9" s="4">
        <v>404</v>
      </c>
      <c r="V9" s="4">
        <v>0.3</v>
      </c>
      <c r="W9" s="4">
        <v>0.3</v>
      </c>
      <c r="X9" s="4">
        <v>1040</v>
      </c>
      <c r="Y9" s="4">
        <v>1</v>
      </c>
      <c r="AA9">
        <f t="shared" si="1"/>
        <v>0.83466123245992896</v>
      </c>
      <c r="AB9">
        <f t="shared" si="0"/>
        <v>22.708453569420318</v>
      </c>
      <c r="AC9">
        <f t="shared" si="2"/>
        <v>0.36144578313253012</v>
      </c>
      <c r="AD9">
        <f t="shared" si="3"/>
        <v>1.0000000000000009E-3</v>
      </c>
      <c r="AF9">
        <v>1.5</v>
      </c>
      <c r="AG9">
        <f t="shared" si="4"/>
        <v>3.400171695455914</v>
      </c>
      <c r="AH9">
        <f t="shared" si="5"/>
        <v>7.3484692283495336</v>
      </c>
      <c r="AI9" s="94">
        <f t="shared" si="6"/>
        <v>0.25263157894736843</v>
      </c>
    </row>
    <row r="10" spans="1:35">
      <c r="A10" s="4">
        <v>5</v>
      </c>
      <c r="B10" s="4" t="s">
        <v>1335</v>
      </c>
      <c r="C10" s="4">
        <v>19</v>
      </c>
      <c r="D10" s="4">
        <v>8.1999999999999993</v>
      </c>
      <c r="E10" s="4">
        <v>8.8000000000000007</v>
      </c>
      <c r="F10" s="4" t="s">
        <v>1519</v>
      </c>
      <c r="G10" s="4" t="s">
        <v>1524</v>
      </c>
      <c r="H10" s="4">
        <v>7.35</v>
      </c>
      <c r="I10" s="4">
        <v>7.73</v>
      </c>
      <c r="J10" s="4">
        <v>15.08</v>
      </c>
      <c r="K10" s="4">
        <v>38</v>
      </c>
      <c r="L10" s="4">
        <v>19</v>
      </c>
      <c r="M10" s="4">
        <v>179</v>
      </c>
      <c r="N10" s="4">
        <v>185</v>
      </c>
      <c r="O10" s="4">
        <v>2.8</v>
      </c>
      <c r="P10" s="4">
        <v>31000</v>
      </c>
      <c r="Q10" s="4">
        <v>1.72</v>
      </c>
      <c r="R10" s="4">
        <v>5.3</v>
      </c>
      <c r="S10" s="4">
        <v>15</v>
      </c>
      <c r="T10" s="4">
        <v>3.1</v>
      </c>
      <c r="U10" s="4">
        <v>345</v>
      </c>
      <c r="V10" s="4">
        <v>1.1000000000000001</v>
      </c>
      <c r="W10" s="4">
        <v>0.98</v>
      </c>
      <c r="X10" s="4">
        <v>900</v>
      </c>
      <c r="Y10" s="4">
        <v>1.1000000000000001</v>
      </c>
      <c r="AA10">
        <f t="shared" si="1"/>
        <v>2.3621703293231273</v>
      </c>
      <c r="AB10">
        <f t="shared" si="0"/>
        <v>41.445650868647498</v>
      </c>
      <c r="AC10">
        <f t="shared" si="2"/>
        <v>0.35000000000000003</v>
      </c>
      <c r="AD10">
        <f t="shared" si="3"/>
        <v>-6.9999999999996732E-3</v>
      </c>
      <c r="AF10">
        <v>2</v>
      </c>
      <c r="AG10">
        <f t="shared" si="4"/>
        <v>4.4119317337188724</v>
      </c>
      <c r="AH10">
        <f t="shared" si="5"/>
        <v>8.4852813742385713</v>
      </c>
      <c r="AI10" s="94">
        <f t="shared" si="6"/>
        <v>0.43157894736842101</v>
      </c>
    </row>
    <row r="11" spans="1:35">
      <c r="A11" s="4">
        <v>6</v>
      </c>
      <c r="B11" s="4" t="s">
        <v>1336</v>
      </c>
      <c r="C11" s="4">
        <v>19</v>
      </c>
      <c r="D11" s="4">
        <v>9.9</v>
      </c>
      <c r="E11" s="4">
        <v>8.6</v>
      </c>
      <c r="F11" s="4" t="s">
        <v>1519</v>
      </c>
      <c r="G11" s="4" t="s">
        <v>1525</v>
      </c>
      <c r="H11" s="4">
        <v>6.35</v>
      </c>
      <c r="I11" s="4">
        <v>10.75</v>
      </c>
      <c r="J11" s="4">
        <v>17.100000000000001</v>
      </c>
      <c r="K11" s="4">
        <v>38</v>
      </c>
      <c r="L11" s="4">
        <v>24</v>
      </c>
      <c r="M11" s="4">
        <v>167</v>
      </c>
      <c r="N11" s="4">
        <v>183</v>
      </c>
      <c r="O11" s="4">
        <v>4.05</v>
      </c>
      <c r="P11" s="4">
        <v>27500</v>
      </c>
      <c r="Q11" s="4">
        <v>1.93</v>
      </c>
      <c r="R11" s="4">
        <v>5.3</v>
      </c>
      <c r="S11" s="4">
        <v>21</v>
      </c>
      <c r="T11" s="4">
        <v>3.6</v>
      </c>
      <c r="U11" s="4">
        <v>339</v>
      </c>
      <c r="V11" s="4">
        <v>1.2</v>
      </c>
      <c r="W11" s="4">
        <v>1.43</v>
      </c>
      <c r="X11" s="4">
        <v>1120</v>
      </c>
      <c r="Y11" s="4">
        <v>0.8</v>
      </c>
      <c r="AA11">
        <f t="shared" si="1"/>
        <v>3.2689755279634181</v>
      </c>
      <c r="AB11">
        <f t="shared" si="0"/>
        <v>28.419821921452915</v>
      </c>
      <c r="AC11">
        <f t="shared" si="2"/>
        <v>0.35308641975308641</v>
      </c>
      <c r="AD11">
        <f t="shared" si="3"/>
        <v>-3.0999999999998806E-3</v>
      </c>
      <c r="AF11">
        <v>2.5</v>
      </c>
      <c r="AG11">
        <f t="shared" si="4"/>
        <v>5.3743268257972456</v>
      </c>
      <c r="AH11">
        <f t="shared" si="5"/>
        <v>9.4868329805051381</v>
      </c>
      <c r="AI11" s="94">
        <f t="shared" si="6"/>
        <v>0.52105263157894743</v>
      </c>
    </row>
    <row r="12" spans="1:35">
      <c r="A12" s="4">
        <v>7</v>
      </c>
      <c r="B12" s="4" t="s">
        <v>1337</v>
      </c>
      <c r="C12" s="4">
        <v>19</v>
      </c>
      <c r="D12" s="4">
        <v>11.2</v>
      </c>
      <c r="E12" s="4">
        <v>9.6</v>
      </c>
      <c r="F12" s="4" t="s">
        <v>1519</v>
      </c>
      <c r="G12" s="4" t="s">
        <v>1527</v>
      </c>
      <c r="H12" s="4">
        <v>7.3</v>
      </c>
      <c r="I12" s="4">
        <v>19.399999999999999</v>
      </c>
      <c r="J12" s="4">
        <v>26.7</v>
      </c>
      <c r="K12" s="4">
        <v>28</v>
      </c>
      <c r="L12" s="4">
        <v>21</v>
      </c>
      <c r="M12" s="4">
        <v>156</v>
      </c>
      <c r="N12" s="4">
        <v>193</v>
      </c>
      <c r="O12" s="4">
        <v>5.51</v>
      </c>
      <c r="P12" s="4">
        <v>29000</v>
      </c>
      <c r="Q12" s="4">
        <v>1.7</v>
      </c>
      <c r="R12" s="4">
        <v>4.9000000000000004</v>
      </c>
      <c r="S12" s="4">
        <v>27</v>
      </c>
      <c r="T12" s="4">
        <v>4.8</v>
      </c>
      <c r="U12" s="4">
        <v>402</v>
      </c>
      <c r="V12" s="4">
        <v>1.9</v>
      </c>
      <c r="W12" s="4">
        <v>1.88</v>
      </c>
      <c r="X12" s="4">
        <v>1150</v>
      </c>
      <c r="Y12" s="4">
        <v>1</v>
      </c>
      <c r="AA12">
        <f t="shared" si="1"/>
        <v>4.1214971931123969</v>
      </c>
      <c r="AB12">
        <f t="shared" si="0"/>
        <v>30.013993005075342</v>
      </c>
      <c r="AC12">
        <f t="shared" si="2"/>
        <v>0.3411978221415608</v>
      </c>
      <c r="AD12">
        <f t="shared" si="3"/>
        <v>-1.600000000000712E-3</v>
      </c>
      <c r="AF12">
        <v>3</v>
      </c>
      <c r="AG12">
        <f t="shared" si="4"/>
        <v>6.291993295254688</v>
      </c>
      <c r="AH12">
        <f t="shared" si="5"/>
        <v>10.392304845413264</v>
      </c>
      <c r="AI12" s="94">
        <f t="shared" si="6"/>
        <v>0.58947368421052626</v>
      </c>
    </row>
    <row r="13" spans="1:35">
      <c r="A13" s="4">
        <v>8</v>
      </c>
      <c r="B13" s="4" t="s">
        <v>1338</v>
      </c>
      <c r="C13" s="4">
        <v>20</v>
      </c>
      <c r="D13" s="4">
        <v>6</v>
      </c>
      <c r="E13" s="4">
        <v>7.1</v>
      </c>
      <c r="F13" s="4" t="s">
        <v>1469</v>
      </c>
      <c r="G13" s="4" t="s">
        <v>1529</v>
      </c>
      <c r="H13" s="4">
        <v>8.6999999999999993</v>
      </c>
      <c r="I13" s="4">
        <v>3.18</v>
      </c>
      <c r="J13" s="4">
        <v>11.88</v>
      </c>
      <c r="K13" s="4">
        <v>49</v>
      </c>
      <c r="L13" s="4">
        <v>13</v>
      </c>
      <c r="M13" s="4">
        <v>161</v>
      </c>
      <c r="N13" s="4">
        <v>160</v>
      </c>
      <c r="O13" s="4">
        <v>1.56</v>
      </c>
      <c r="P13" s="4">
        <v>32000</v>
      </c>
      <c r="Q13" s="4">
        <v>1.73</v>
      </c>
      <c r="R13" s="4">
        <v>5.5</v>
      </c>
      <c r="S13" s="4">
        <v>9</v>
      </c>
      <c r="T13" s="4">
        <v>1.4</v>
      </c>
      <c r="U13" s="4">
        <v>343</v>
      </c>
      <c r="V13" s="4">
        <v>0.5</v>
      </c>
      <c r="W13" s="4">
        <v>0.6</v>
      </c>
      <c r="X13" s="4">
        <v>1110</v>
      </c>
      <c r="Y13" s="4">
        <v>0.8</v>
      </c>
      <c r="AA13">
        <f t="shared" si="1"/>
        <v>1.5397245602965435</v>
      </c>
      <c r="AB13">
        <f t="shared" si="0"/>
        <v>30.916662965369468</v>
      </c>
      <c r="AC13">
        <f t="shared" si="2"/>
        <v>0.38461538461538458</v>
      </c>
      <c r="AD13">
        <f t="shared" si="3"/>
        <v>0</v>
      </c>
      <c r="AF13">
        <v>4</v>
      </c>
      <c r="AG13">
        <f t="shared" si="4"/>
        <v>8.008144395795334</v>
      </c>
      <c r="AH13">
        <f t="shared" si="5"/>
        <v>12</v>
      </c>
      <c r="AI13" s="94">
        <f t="shared" si="6"/>
        <v>0.3</v>
      </c>
    </row>
    <row r="14" spans="1:35">
      <c r="A14" s="4">
        <v>9</v>
      </c>
      <c r="B14" s="4" t="s">
        <v>1339</v>
      </c>
      <c r="C14" s="4">
        <v>20</v>
      </c>
      <c r="D14" s="4">
        <v>6.4</v>
      </c>
      <c r="E14" s="4">
        <v>8.1</v>
      </c>
      <c r="F14" s="4" t="s">
        <v>1469</v>
      </c>
      <c r="G14" s="4" t="s">
        <v>1529</v>
      </c>
      <c r="H14" s="4">
        <v>12.9</v>
      </c>
      <c r="I14" s="4">
        <v>4.32</v>
      </c>
      <c r="J14" s="4">
        <v>17.22</v>
      </c>
      <c r="K14" s="4">
        <v>36</v>
      </c>
      <c r="L14" s="9">
        <v>9</v>
      </c>
      <c r="M14" s="4">
        <v>176</v>
      </c>
      <c r="N14" s="4">
        <v>159</v>
      </c>
      <c r="O14" s="4">
        <v>1.55</v>
      </c>
      <c r="P14" s="4">
        <v>38900</v>
      </c>
      <c r="Q14" s="4">
        <v>1.53</v>
      </c>
      <c r="R14" s="4">
        <v>6</v>
      </c>
      <c r="S14" s="4">
        <v>9</v>
      </c>
      <c r="T14" s="4">
        <v>1.9</v>
      </c>
      <c r="U14" s="4">
        <v>353</v>
      </c>
      <c r="V14" s="4">
        <v>0.7</v>
      </c>
      <c r="W14" s="4">
        <v>0.6</v>
      </c>
      <c r="X14" s="4">
        <v>820</v>
      </c>
      <c r="Y14" s="4">
        <v>1.2</v>
      </c>
      <c r="AA14">
        <f t="shared" si="1"/>
        <v>1.5397245602965435</v>
      </c>
      <c r="AB14">
        <f t="shared" si="0"/>
        <v>43.037213844776382</v>
      </c>
      <c r="AC14">
        <f t="shared" si="2"/>
        <v>0.38709677419354838</v>
      </c>
      <c r="AD14">
        <f t="shared" si="3"/>
        <v>3.9999999999997815E-3</v>
      </c>
      <c r="AF14">
        <v>5</v>
      </c>
      <c r="AG14">
        <f t="shared" si="4"/>
        <v>9.5855222309285733</v>
      </c>
      <c r="AH14">
        <f t="shared" si="5"/>
        <v>13.416407864998739</v>
      </c>
      <c r="AI14" s="94">
        <f t="shared" si="6"/>
        <v>0.32</v>
      </c>
    </row>
    <row r="15" spans="1:35">
      <c r="A15" s="4">
        <v>10</v>
      </c>
      <c r="B15" s="4" t="s">
        <v>1340</v>
      </c>
      <c r="C15" s="4">
        <v>20</v>
      </c>
      <c r="D15" s="4">
        <v>7.6</v>
      </c>
      <c r="E15" s="4">
        <v>7.3</v>
      </c>
      <c r="F15" s="4" t="s">
        <v>1519</v>
      </c>
      <c r="G15" s="4" t="s">
        <v>1525</v>
      </c>
      <c r="H15" s="4">
        <v>7.66</v>
      </c>
      <c r="I15" s="4">
        <v>5.69</v>
      </c>
      <c r="J15" s="4">
        <v>13.35</v>
      </c>
      <c r="K15" s="4">
        <v>38</v>
      </c>
      <c r="L15" s="4">
        <v>16</v>
      </c>
      <c r="M15" s="4">
        <v>168</v>
      </c>
      <c r="N15" s="4">
        <v>161</v>
      </c>
      <c r="O15" s="4">
        <v>2.14</v>
      </c>
      <c r="P15" s="4">
        <v>37600</v>
      </c>
      <c r="Q15" s="4">
        <v>1.55</v>
      </c>
      <c r="R15" s="4">
        <v>5.8</v>
      </c>
      <c r="S15" s="4">
        <v>12</v>
      </c>
      <c r="T15" s="4">
        <v>2.9</v>
      </c>
      <c r="U15" s="4">
        <v>348</v>
      </c>
      <c r="V15" s="4">
        <v>1</v>
      </c>
      <c r="W15" s="4">
        <v>0.82</v>
      </c>
      <c r="X15" s="4">
        <v>740</v>
      </c>
      <c r="Y15" s="4">
        <v>1.2</v>
      </c>
      <c r="AA15">
        <f t="shared" si="1"/>
        <v>2.0233913438774547</v>
      </c>
      <c r="AB15">
        <f t="shared" si="0"/>
        <v>27.842598909867373</v>
      </c>
      <c r="AC15">
        <f t="shared" si="2"/>
        <v>0.38317757009345788</v>
      </c>
      <c r="AD15">
        <f t="shared" si="3"/>
        <v>1.9999999999997797E-4</v>
      </c>
      <c r="AF15">
        <v>6</v>
      </c>
      <c r="AG15">
        <f t="shared" si="4"/>
        <v>11.043475484300265</v>
      </c>
      <c r="AH15">
        <f t="shared" si="5"/>
        <v>14.696938456699067</v>
      </c>
      <c r="AI15" s="94">
        <f t="shared" si="6"/>
        <v>0.38</v>
      </c>
    </row>
    <row r="16" spans="1:35">
      <c r="A16" s="4">
        <v>11</v>
      </c>
      <c r="B16" s="4" t="s">
        <v>1341</v>
      </c>
      <c r="C16" s="4">
        <v>20</v>
      </c>
      <c r="D16" s="4">
        <v>9</v>
      </c>
      <c r="E16" s="4">
        <v>8.1999999999999993</v>
      </c>
      <c r="F16" s="4" t="s">
        <v>1469</v>
      </c>
      <c r="G16" s="4" t="s">
        <v>1526</v>
      </c>
      <c r="H16" s="4">
        <v>6.62</v>
      </c>
      <c r="I16" s="4">
        <v>9.34</v>
      </c>
      <c r="J16" s="4">
        <v>15.96</v>
      </c>
      <c r="K16" s="4">
        <v>41</v>
      </c>
      <c r="L16" s="4">
        <v>24</v>
      </c>
      <c r="M16" s="4">
        <v>179</v>
      </c>
      <c r="N16" s="4">
        <v>164</v>
      </c>
      <c r="O16" s="4">
        <v>3.85</v>
      </c>
      <c r="P16" s="4">
        <v>28400</v>
      </c>
      <c r="Q16" s="4">
        <v>1.78</v>
      </c>
      <c r="R16" s="4">
        <v>5.0999999999999996</v>
      </c>
      <c r="S16" s="4">
        <v>20</v>
      </c>
      <c r="T16" s="4">
        <v>4.9000000000000004</v>
      </c>
      <c r="U16" s="4">
        <v>354</v>
      </c>
      <c r="V16" s="4">
        <v>1.7</v>
      </c>
      <c r="W16" s="4">
        <v>1.46</v>
      </c>
      <c r="X16" s="4">
        <v>790</v>
      </c>
      <c r="Y16" s="4">
        <v>1.2</v>
      </c>
      <c r="AA16">
        <f t="shared" si="1"/>
        <v>3.3273506860905306</v>
      </c>
      <c r="AB16">
        <f t="shared" si="0"/>
        <v>23.74271133634241</v>
      </c>
      <c r="AC16">
        <f t="shared" si="2"/>
        <v>0.37922077922077918</v>
      </c>
      <c r="AD16">
        <f t="shared" si="3"/>
        <v>4.3999999999995154E-3</v>
      </c>
      <c r="AF16">
        <v>7</v>
      </c>
      <c r="AG16">
        <f t="shared" si="4"/>
        <v>12.397405913827086</v>
      </c>
      <c r="AH16">
        <f t="shared" si="5"/>
        <v>15.874507866387544</v>
      </c>
      <c r="AI16" s="94">
        <f t="shared" si="6"/>
        <v>0.45</v>
      </c>
    </row>
    <row r="17" spans="1:35">
      <c r="A17" s="4">
        <v>12</v>
      </c>
      <c r="B17" s="4" t="s">
        <v>1342</v>
      </c>
      <c r="C17" s="4">
        <v>20</v>
      </c>
      <c r="D17" s="4">
        <v>9</v>
      </c>
      <c r="E17" s="4">
        <v>7.6</v>
      </c>
      <c r="F17" s="4" t="s">
        <v>1519</v>
      </c>
      <c r="G17" s="4" t="s">
        <v>1527</v>
      </c>
      <c r="H17" s="4">
        <v>6.23</v>
      </c>
      <c r="I17" s="4">
        <v>12.42</v>
      </c>
      <c r="J17" s="4">
        <v>18.649999999999999</v>
      </c>
      <c r="K17" s="4">
        <v>31</v>
      </c>
      <c r="L17" s="4">
        <v>21</v>
      </c>
      <c r="M17" s="4">
        <v>187</v>
      </c>
      <c r="N17" s="4">
        <v>170</v>
      </c>
      <c r="O17" s="4">
        <v>3.85</v>
      </c>
      <c r="P17" s="4">
        <v>29600</v>
      </c>
      <c r="Q17" s="4">
        <v>1.74</v>
      </c>
      <c r="R17" s="4">
        <v>5.2</v>
      </c>
      <c r="S17" s="4">
        <v>20</v>
      </c>
      <c r="T17" s="4">
        <v>4.7</v>
      </c>
      <c r="U17" s="4">
        <v>343</v>
      </c>
      <c r="V17" s="4">
        <v>1.6</v>
      </c>
      <c r="W17" s="4">
        <v>1.42</v>
      </c>
      <c r="X17" s="4">
        <v>820</v>
      </c>
      <c r="Y17" s="4">
        <v>1.1000000000000001</v>
      </c>
      <c r="AA17">
        <f t="shared" si="1"/>
        <v>3.2494643890944905</v>
      </c>
      <c r="AB17">
        <f t="shared" si="0"/>
        <v>18.927160101756971</v>
      </c>
      <c r="AC17">
        <f t="shared" si="2"/>
        <v>0.36883116883116879</v>
      </c>
      <c r="AD17">
        <f t="shared" si="3"/>
        <v>-1.6000000000000014E-2</v>
      </c>
      <c r="AF17">
        <v>8</v>
      </c>
      <c r="AG17">
        <f t="shared" si="4"/>
        <v>13.65985648009279</v>
      </c>
      <c r="AH17">
        <f t="shared" si="5"/>
        <v>16.970562748477143</v>
      </c>
      <c r="AI17" s="94">
        <f t="shared" si="6"/>
        <v>0.45</v>
      </c>
    </row>
    <row r="18" spans="1:35">
      <c r="A18" s="4">
        <v>13</v>
      </c>
      <c r="B18" s="4" t="s">
        <v>1342</v>
      </c>
      <c r="C18" s="4">
        <v>20</v>
      </c>
      <c r="D18" s="4">
        <v>10.7</v>
      </c>
      <c r="E18" s="4">
        <v>8.6999999999999993</v>
      </c>
      <c r="F18" s="4" t="s">
        <v>1519</v>
      </c>
      <c r="G18" s="4" t="s">
        <v>1525</v>
      </c>
      <c r="H18" s="4">
        <v>5.75</v>
      </c>
      <c r="I18" s="4">
        <v>16.239999999999998</v>
      </c>
      <c r="J18" s="4">
        <v>21.99</v>
      </c>
      <c r="K18" s="4">
        <v>36</v>
      </c>
      <c r="L18" s="4">
        <v>27</v>
      </c>
      <c r="M18" s="4">
        <v>180</v>
      </c>
      <c r="N18" s="4">
        <v>163</v>
      </c>
      <c r="O18" s="4">
        <v>5.9</v>
      </c>
      <c r="P18" s="4">
        <v>30200</v>
      </c>
      <c r="Q18" s="4">
        <v>1.99</v>
      </c>
      <c r="R18" s="4">
        <v>6</v>
      </c>
      <c r="S18" s="4">
        <v>35</v>
      </c>
      <c r="T18" s="4">
        <v>7.6</v>
      </c>
      <c r="U18" s="4">
        <v>356</v>
      </c>
      <c r="V18" s="4">
        <v>2.7</v>
      </c>
      <c r="W18" s="4">
        <v>2.2400000000000002</v>
      </c>
      <c r="X18" s="4">
        <v>780</v>
      </c>
      <c r="Y18" s="4">
        <v>1.2</v>
      </c>
      <c r="AA18">
        <f t="shared" si="1"/>
        <v>4.7716882767271365</v>
      </c>
      <c r="AB18">
        <f t="shared" si="0"/>
        <v>15.431632995203008</v>
      </c>
      <c r="AC18">
        <f t="shared" si="2"/>
        <v>0.37966101694915255</v>
      </c>
      <c r="AD18">
        <f t="shared" si="3"/>
        <v>-8.799999999999919E-3</v>
      </c>
      <c r="AF18">
        <v>9</v>
      </c>
      <c r="AG18">
        <f t="shared" si="4"/>
        <v>14.841217310156829</v>
      </c>
      <c r="AH18">
        <f t="shared" si="5"/>
        <v>18</v>
      </c>
      <c r="AI18" s="94">
        <f t="shared" si="6"/>
        <v>0.53499999999999992</v>
      </c>
    </row>
    <row r="19" spans="1:35">
      <c r="A19" s="4">
        <v>14</v>
      </c>
      <c r="B19" s="6" t="s">
        <v>1357</v>
      </c>
      <c r="C19" s="4">
        <v>20</v>
      </c>
      <c r="D19" s="4">
        <v>7.6</v>
      </c>
      <c r="E19" s="4">
        <v>6.9</v>
      </c>
      <c r="F19" s="4" t="s">
        <v>1519</v>
      </c>
      <c r="G19" s="4" t="s">
        <v>1526</v>
      </c>
      <c r="H19" s="4">
        <v>9.1999999999999993</v>
      </c>
      <c r="I19" s="4">
        <v>14.7</v>
      </c>
      <c r="J19" s="4">
        <v>23.9</v>
      </c>
      <c r="K19" s="4">
        <v>44</v>
      </c>
      <c r="L19" s="4">
        <v>27</v>
      </c>
      <c r="M19" s="4">
        <v>166</v>
      </c>
      <c r="N19" s="4">
        <v>154</v>
      </c>
      <c r="O19" s="4">
        <v>6.47</v>
      </c>
      <c r="P19" s="4">
        <v>38600</v>
      </c>
      <c r="Q19" s="4">
        <v>1.57</v>
      </c>
      <c r="R19" s="4">
        <v>6.1</v>
      </c>
      <c r="S19" s="4">
        <v>39</v>
      </c>
      <c r="T19" s="4">
        <v>2.2999999999999998</v>
      </c>
      <c r="U19" s="4">
        <v>407</v>
      </c>
      <c r="V19" s="4">
        <v>0.9</v>
      </c>
      <c r="W19" s="4">
        <v>2.5499999999999998</v>
      </c>
      <c r="X19" s="4">
        <v>2810</v>
      </c>
      <c r="Y19" s="4">
        <v>0.4</v>
      </c>
      <c r="AA19">
        <f t="shared" si="1"/>
        <v>5.3119216118545669</v>
      </c>
      <c r="AB19">
        <f t="shared" si="0"/>
        <v>2.5219929668945982</v>
      </c>
      <c r="AC19">
        <f t="shared" si="2"/>
        <v>0.39412673879443583</v>
      </c>
      <c r="AD19">
        <f t="shared" si="3"/>
        <v>6.9999999999996732E-3</v>
      </c>
      <c r="AF19">
        <v>10</v>
      </c>
      <c r="AG19">
        <f t="shared" si="4"/>
        <v>15.950211753255667</v>
      </c>
      <c r="AH19">
        <f t="shared" si="5"/>
        <v>18.973665961010276</v>
      </c>
      <c r="AI19" s="94">
        <f t="shared" si="6"/>
        <v>0.38</v>
      </c>
    </row>
    <row r="20" spans="1:35">
      <c r="A20" s="4">
        <v>15</v>
      </c>
      <c r="B20" s="4" t="s">
        <v>1358</v>
      </c>
      <c r="C20" s="4">
        <v>20</v>
      </c>
      <c r="D20" s="4">
        <v>7.8</v>
      </c>
      <c r="E20" s="4">
        <v>6.8</v>
      </c>
      <c r="F20" s="4" t="s">
        <v>1518</v>
      </c>
      <c r="G20" s="4" t="s">
        <v>1524</v>
      </c>
      <c r="H20" s="4">
        <v>8.1</v>
      </c>
      <c r="I20" s="4">
        <v>11.25</v>
      </c>
      <c r="J20" s="4">
        <v>19.350000000000001</v>
      </c>
      <c r="K20" s="4">
        <v>47</v>
      </c>
      <c r="L20" s="4">
        <v>28</v>
      </c>
      <c r="M20" s="4">
        <v>164</v>
      </c>
      <c r="N20" s="4">
        <v>157</v>
      </c>
      <c r="O20" s="4">
        <v>5.33</v>
      </c>
      <c r="P20" s="4">
        <v>46600</v>
      </c>
      <c r="Q20" s="4">
        <v>1.28</v>
      </c>
      <c r="R20" s="4">
        <v>6</v>
      </c>
      <c r="S20" s="4">
        <v>32</v>
      </c>
      <c r="T20" s="4">
        <v>2.4</v>
      </c>
      <c r="U20" s="4">
        <v>372</v>
      </c>
      <c r="V20" s="4">
        <v>0.9</v>
      </c>
      <c r="W20" s="4">
        <v>2.0699999999999998</v>
      </c>
      <c r="X20" s="4">
        <v>2220</v>
      </c>
      <c r="Y20" s="4">
        <v>0.4</v>
      </c>
      <c r="AA20">
        <f t="shared" si="1"/>
        <v>4.4678822769092053</v>
      </c>
      <c r="AB20">
        <f t="shared" si="0"/>
        <v>5.4387730743541916</v>
      </c>
      <c r="AC20">
        <f t="shared" si="2"/>
        <v>0.38836772983114443</v>
      </c>
      <c r="AD20">
        <f t="shared" si="3"/>
        <v>-1.0099999999999554E-2</v>
      </c>
      <c r="AF20">
        <v>11</v>
      </c>
      <c r="AG20">
        <f t="shared" si="4"/>
        <v>16.994245188396079</v>
      </c>
      <c r="AH20">
        <f t="shared" si="5"/>
        <v>19.899748742132399</v>
      </c>
      <c r="AI20" s="94">
        <f t="shared" si="6"/>
        <v>0.39</v>
      </c>
    </row>
    <row r="21" spans="1:35">
      <c r="A21" s="4">
        <v>16</v>
      </c>
      <c r="B21" s="4" t="s">
        <v>1359</v>
      </c>
      <c r="C21" s="4">
        <v>20</v>
      </c>
      <c r="D21" s="4">
        <v>7.8</v>
      </c>
      <c r="E21" s="4">
        <v>7</v>
      </c>
      <c r="F21" s="4" t="s">
        <v>1469</v>
      </c>
      <c r="G21" s="4" t="s">
        <v>1529</v>
      </c>
      <c r="H21" s="4">
        <v>8.25</v>
      </c>
      <c r="I21" s="4">
        <v>8.43</v>
      </c>
      <c r="J21" s="4">
        <v>16.68</v>
      </c>
      <c r="K21" s="4">
        <v>51</v>
      </c>
      <c r="L21" s="4">
        <v>26</v>
      </c>
      <c r="M21" s="4">
        <v>169</v>
      </c>
      <c r="N21" s="4">
        <v>149</v>
      </c>
      <c r="O21" s="4">
        <v>4.26</v>
      </c>
      <c r="P21" s="4">
        <v>31000</v>
      </c>
      <c r="Q21" s="4">
        <v>1.88</v>
      </c>
      <c r="R21" s="4">
        <v>5.8</v>
      </c>
      <c r="S21" s="4">
        <v>25</v>
      </c>
      <c r="T21" s="4">
        <v>2.5</v>
      </c>
      <c r="U21" s="4">
        <v>366</v>
      </c>
      <c r="V21" s="4">
        <v>0.9</v>
      </c>
      <c r="W21" s="4">
        <v>1.67</v>
      </c>
      <c r="X21" s="4">
        <v>1700</v>
      </c>
      <c r="Y21" s="4">
        <v>0.5</v>
      </c>
      <c r="AA21">
        <f t="shared" si="1"/>
        <v>3.7296097370080372</v>
      </c>
      <c r="AB21">
        <f t="shared" si="0"/>
        <v>10.69545247227264</v>
      </c>
      <c r="AC21">
        <f t="shared" si="2"/>
        <v>0.392018779342723</v>
      </c>
      <c r="AD21">
        <f t="shared" si="3"/>
        <v>-0.10169999999999924</v>
      </c>
      <c r="AF21">
        <v>12</v>
      </c>
      <c r="AG21">
        <f t="shared" si="4"/>
        <v>17.979663175100061</v>
      </c>
      <c r="AH21">
        <f t="shared" si="5"/>
        <v>20.784609690826528</v>
      </c>
      <c r="AI21" s="94">
        <f t="shared" si="6"/>
        <v>0.39</v>
      </c>
    </row>
    <row r="22" spans="1:35">
      <c r="A22" s="4">
        <v>17</v>
      </c>
      <c r="B22" s="4" t="s">
        <v>1360</v>
      </c>
      <c r="C22" s="4">
        <v>20</v>
      </c>
      <c r="D22" s="4">
        <v>10.199999999999999</v>
      </c>
      <c r="E22" s="4">
        <v>7.8</v>
      </c>
      <c r="F22" s="4" t="s">
        <v>1519</v>
      </c>
      <c r="G22" s="4" t="s">
        <v>1526</v>
      </c>
      <c r="H22" s="4">
        <v>6</v>
      </c>
      <c r="I22" s="4">
        <v>34.020000000000003</v>
      </c>
      <c r="J22" s="4">
        <v>40.020000000000003</v>
      </c>
      <c r="K22" s="4">
        <v>38</v>
      </c>
      <c r="L22" s="4">
        <v>32</v>
      </c>
      <c r="M22" s="4">
        <v>166</v>
      </c>
      <c r="N22" s="4">
        <v>154</v>
      </c>
      <c r="O22" s="4">
        <v>12.75</v>
      </c>
      <c r="P22" s="4">
        <v>38700</v>
      </c>
      <c r="Q22" s="4">
        <v>1.54</v>
      </c>
      <c r="R22" s="4">
        <v>6</v>
      </c>
      <c r="S22" s="4">
        <v>76</v>
      </c>
      <c r="T22" s="4">
        <v>4.9000000000000004</v>
      </c>
      <c r="U22" s="4">
        <v>350</v>
      </c>
      <c r="V22" s="4">
        <v>1.7</v>
      </c>
      <c r="W22" s="4">
        <v>5.01</v>
      </c>
      <c r="X22" s="4">
        <v>2600</v>
      </c>
      <c r="Y22" s="4">
        <v>0.3</v>
      </c>
      <c r="AA22">
        <f t="shared" si="1"/>
        <v>9.1074108023436473</v>
      </c>
      <c r="AB22">
        <f t="shared" si="0"/>
        <v>1.7093230060848601</v>
      </c>
      <c r="AC22">
        <f t="shared" si="2"/>
        <v>0.39294117647058824</v>
      </c>
      <c r="AD22">
        <f t="shared" si="3"/>
        <v>-2.4599999999999511E-2</v>
      </c>
      <c r="AF22">
        <v>13</v>
      </c>
      <c r="AG22">
        <f t="shared" si="4"/>
        <v>18.911947157544454</v>
      </c>
      <c r="AH22">
        <f t="shared" si="5"/>
        <v>21.633307652783934</v>
      </c>
      <c r="AI22" s="94">
        <f t="shared" si="6"/>
        <v>0.51</v>
      </c>
    </row>
    <row r="23" spans="1:35">
      <c r="A23" s="4">
        <v>18</v>
      </c>
      <c r="B23" s="4" t="s">
        <v>1361</v>
      </c>
      <c r="C23" s="4">
        <v>20</v>
      </c>
      <c r="D23" s="4">
        <v>7.4</v>
      </c>
      <c r="E23" s="4">
        <v>8.1</v>
      </c>
      <c r="F23" s="4" t="s">
        <v>1469</v>
      </c>
      <c r="G23" s="4" t="s">
        <v>1526</v>
      </c>
      <c r="H23" s="4">
        <v>8.65</v>
      </c>
      <c r="I23" s="4">
        <v>6.67</v>
      </c>
      <c r="J23" s="4">
        <v>15.32</v>
      </c>
      <c r="K23" s="4">
        <v>49</v>
      </c>
      <c r="L23" s="4">
        <v>21</v>
      </c>
      <c r="M23" s="4">
        <v>183</v>
      </c>
      <c r="N23" s="4">
        <v>155</v>
      </c>
      <c r="O23" s="4">
        <v>3.27</v>
      </c>
      <c r="P23" s="4">
        <v>37800</v>
      </c>
      <c r="Q23" s="4">
        <v>1.35</v>
      </c>
      <c r="R23" s="4">
        <v>5.0999999999999996</v>
      </c>
      <c r="S23" s="4">
        <v>17</v>
      </c>
      <c r="T23" s="4">
        <v>2.1</v>
      </c>
      <c r="U23" s="4">
        <v>345</v>
      </c>
      <c r="V23" s="4">
        <v>0.7</v>
      </c>
      <c r="W23" s="4">
        <v>1.28</v>
      </c>
      <c r="X23" s="4">
        <v>1560</v>
      </c>
      <c r="Y23" s="4">
        <v>0.6</v>
      </c>
      <c r="AA23">
        <f t="shared" si="1"/>
        <v>2.9734437185478035</v>
      </c>
      <c r="AB23">
        <f t="shared" si="0"/>
        <v>26.281579306896965</v>
      </c>
      <c r="AC23">
        <f t="shared" si="2"/>
        <v>0.39143730886850153</v>
      </c>
      <c r="AD23">
        <f t="shared" si="3"/>
        <v>-6.0000000000002274E-3</v>
      </c>
      <c r="AF23">
        <v>14</v>
      </c>
      <c r="AG23">
        <f t="shared" si="4"/>
        <v>19.795865737695525</v>
      </c>
      <c r="AH23">
        <f t="shared" si="5"/>
        <v>22.449944320643649</v>
      </c>
      <c r="AI23" s="94">
        <f t="shared" si="6"/>
        <v>0.37</v>
      </c>
    </row>
    <row r="24" spans="1:35">
      <c r="A24" s="4">
        <v>19</v>
      </c>
      <c r="B24" s="4" t="s">
        <v>1342</v>
      </c>
      <c r="C24" s="4">
        <v>20</v>
      </c>
      <c r="D24" s="4">
        <v>10.199999999999999</v>
      </c>
      <c r="E24" s="4">
        <v>8.3000000000000007</v>
      </c>
      <c r="F24" s="4" t="s">
        <v>1519</v>
      </c>
      <c r="G24" s="4" t="s">
        <v>1524</v>
      </c>
      <c r="H24" s="4">
        <v>6.75</v>
      </c>
      <c r="I24" s="4">
        <v>23.83</v>
      </c>
      <c r="J24" s="4">
        <v>30.58</v>
      </c>
      <c r="K24" s="4">
        <v>44</v>
      </c>
      <c r="L24" s="4">
        <v>34</v>
      </c>
      <c r="M24" s="4">
        <v>177</v>
      </c>
      <c r="N24" s="4">
        <v>154</v>
      </c>
      <c r="O24" s="4">
        <v>10.54</v>
      </c>
      <c r="P24" s="4">
        <v>35800</v>
      </c>
      <c r="Q24" s="4">
        <v>1.34</v>
      </c>
      <c r="R24" s="4">
        <v>4.8</v>
      </c>
      <c r="S24" s="4">
        <v>51</v>
      </c>
      <c r="T24" s="4">
        <v>4.3</v>
      </c>
      <c r="U24" s="4">
        <v>333</v>
      </c>
      <c r="V24" s="4">
        <v>1.4</v>
      </c>
      <c r="W24" s="4">
        <v>4.1500000000000004</v>
      </c>
      <c r="X24" s="4">
        <v>2450</v>
      </c>
      <c r="Y24" s="4">
        <v>0.3</v>
      </c>
      <c r="AA24">
        <f t="shared" si="1"/>
        <v>7.8661952913343729</v>
      </c>
      <c r="AB24">
        <f t="shared" si="0"/>
        <v>0.18818652526047022</v>
      </c>
      <c r="AC24">
        <f t="shared" si="2"/>
        <v>0.39373814041745736</v>
      </c>
      <c r="AD24">
        <f t="shared" si="3"/>
        <v>1.0000000000012221E-3</v>
      </c>
      <c r="AF24">
        <v>15</v>
      </c>
      <c r="AG24">
        <f t="shared" si="4"/>
        <v>20.635593506401857</v>
      </c>
      <c r="AH24">
        <f t="shared" si="5"/>
        <v>23.237900077244504</v>
      </c>
      <c r="AI24" s="94">
        <f t="shared" si="6"/>
        <v>0.51</v>
      </c>
    </row>
    <row r="25" spans="1:35">
      <c r="A25" s="4">
        <v>20</v>
      </c>
      <c r="B25" s="4" t="s">
        <v>1342</v>
      </c>
      <c r="C25" s="4">
        <v>20</v>
      </c>
      <c r="D25" s="4">
        <v>10.5</v>
      </c>
      <c r="E25" s="4">
        <v>8.4</v>
      </c>
      <c r="F25" s="4" t="s">
        <v>1519</v>
      </c>
      <c r="G25" s="4" t="s">
        <v>1525</v>
      </c>
      <c r="H25" s="4">
        <v>6.3</v>
      </c>
      <c r="I25" s="4">
        <v>13.5</v>
      </c>
      <c r="J25" s="4">
        <v>19.8</v>
      </c>
      <c r="K25" s="4">
        <v>39</v>
      </c>
      <c r="L25" s="4">
        <v>26</v>
      </c>
      <c r="M25" s="4">
        <v>179</v>
      </c>
      <c r="N25" s="4">
        <v>154</v>
      </c>
      <c r="O25" s="4">
        <v>5.2</v>
      </c>
      <c r="P25" s="4">
        <v>27800</v>
      </c>
      <c r="Q25" s="4">
        <v>2.02</v>
      </c>
      <c r="R25" s="4">
        <v>5.6</v>
      </c>
      <c r="S25" s="4">
        <v>29</v>
      </c>
      <c r="T25" s="4">
        <v>4.0999999999999996</v>
      </c>
      <c r="U25" s="4">
        <v>354</v>
      </c>
      <c r="V25" s="4">
        <v>1.5</v>
      </c>
      <c r="W25" s="4">
        <v>2.0499999999999998</v>
      </c>
      <c r="X25" s="4">
        <v>1270</v>
      </c>
      <c r="Y25" s="4">
        <v>0.7</v>
      </c>
      <c r="AA25">
        <f t="shared" si="1"/>
        <v>4.431768495624401</v>
      </c>
      <c r="AB25">
        <f t="shared" si="0"/>
        <v>15.746861272319032</v>
      </c>
      <c r="AC25">
        <f t="shared" si="2"/>
        <v>0.39423076923076916</v>
      </c>
      <c r="AD25">
        <f t="shared" si="3"/>
        <v>6.9999999999996732E-3</v>
      </c>
      <c r="AF25">
        <v>16</v>
      </c>
      <c r="AG25">
        <f t="shared" si="4"/>
        <v>21.434805677211276</v>
      </c>
      <c r="AH25">
        <f t="shared" si="5"/>
        <v>24</v>
      </c>
      <c r="AI25" s="94">
        <f t="shared" si="6"/>
        <v>0.52500000000000002</v>
      </c>
    </row>
    <row r="26" spans="1:35">
      <c r="A26" s="4">
        <v>21</v>
      </c>
      <c r="B26" s="4" t="s">
        <v>1342</v>
      </c>
      <c r="C26" s="4">
        <v>20</v>
      </c>
      <c r="D26" s="4">
        <v>11.6</v>
      </c>
      <c r="E26" s="4">
        <v>8</v>
      </c>
      <c r="F26" s="4" t="s">
        <v>1519</v>
      </c>
      <c r="G26" s="4" t="s">
        <v>1525</v>
      </c>
      <c r="H26" s="4">
        <v>5.75</v>
      </c>
      <c r="I26" s="4">
        <v>29.25</v>
      </c>
      <c r="J26" s="4">
        <v>35</v>
      </c>
      <c r="K26" s="4">
        <v>38</v>
      </c>
      <c r="L26" s="4">
        <v>32</v>
      </c>
      <c r="M26" s="4">
        <v>168</v>
      </c>
      <c r="N26" s="4">
        <v>156</v>
      </c>
      <c r="O26" s="4">
        <v>11.2</v>
      </c>
      <c r="P26" s="4">
        <v>36600</v>
      </c>
      <c r="Q26" s="4">
        <v>1.52</v>
      </c>
      <c r="R26" s="4">
        <v>5.6</v>
      </c>
      <c r="S26" s="4">
        <v>63</v>
      </c>
      <c r="T26" s="4">
        <v>5.7</v>
      </c>
      <c r="U26" s="4">
        <v>309</v>
      </c>
      <c r="V26" s="4">
        <v>1.8</v>
      </c>
      <c r="W26" s="4">
        <v>4.38</v>
      </c>
      <c r="X26" s="4">
        <v>1960</v>
      </c>
      <c r="Y26" s="4">
        <v>0.4</v>
      </c>
      <c r="AA26">
        <f t="shared" si="1"/>
        <v>8.2061151747990291</v>
      </c>
      <c r="AB26">
        <f t="shared" si="0"/>
        <v>4.248346528243431E-2</v>
      </c>
      <c r="AC26">
        <f t="shared" si="2"/>
        <v>0.39107142857142857</v>
      </c>
      <c r="AD26">
        <f t="shared" si="3"/>
        <v>1.2800000000000367E-2</v>
      </c>
      <c r="AF26">
        <v>17</v>
      </c>
      <c r="AG26">
        <f t="shared" si="4"/>
        <v>22.196754347129318</v>
      </c>
      <c r="AH26">
        <f t="shared" si="5"/>
        <v>24.738633753705962</v>
      </c>
      <c r="AI26" s="94">
        <f t="shared" si="6"/>
        <v>0.57999999999999996</v>
      </c>
    </row>
    <row r="27" spans="1:35">
      <c r="A27" s="4">
        <v>22</v>
      </c>
      <c r="B27" s="4" t="s">
        <v>1362</v>
      </c>
      <c r="C27" s="4">
        <v>20</v>
      </c>
      <c r="D27" s="4">
        <v>6.4</v>
      </c>
      <c r="E27" s="4">
        <v>5.8</v>
      </c>
      <c r="F27" s="4" t="s">
        <v>1518</v>
      </c>
      <c r="G27" s="4" t="s">
        <v>1526</v>
      </c>
      <c r="H27" s="4">
        <v>8.3000000000000007</v>
      </c>
      <c r="I27" s="4">
        <v>5.07</v>
      </c>
      <c r="J27" s="4">
        <v>13.37</v>
      </c>
      <c r="K27" s="4">
        <v>39</v>
      </c>
      <c r="L27" s="4">
        <v>15</v>
      </c>
      <c r="M27" s="4">
        <v>183</v>
      </c>
      <c r="N27" s="4">
        <v>164</v>
      </c>
      <c r="O27" s="4">
        <v>1.98</v>
      </c>
      <c r="P27" s="4">
        <v>52300</v>
      </c>
      <c r="Q27" s="4">
        <v>1.32</v>
      </c>
      <c r="R27" s="4">
        <v>6.9</v>
      </c>
      <c r="S27" s="4">
        <v>14</v>
      </c>
      <c r="T27" s="4">
        <v>1.3</v>
      </c>
      <c r="U27" s="4">
        <v>351</v>
      </c>
      <c r="V27" s="4">
        <v>0.5</v>
      </c>
      <c r="W27" s="4">
        <v>0.75</v>
      </c>
      <c r="X27" s="4">
        <v>1520</v>
      </c>
      <c r="Y27" s="4">
        <v>0.7</v>
      </c>
      <c r="AA27">
        <f t="shared" si="1"/>
        <v>1.8719269364257176</v>
      </c>
      <c r="AB27">
        <f t="shared" si="0"/>
        <v>15.429757992777846</v>
      </c>
      <c r="AC27">
        <f t="shared" si="2"/>
        <v>0.37878787878787878</v>
      </c>
      <c r="AD27">
        <f t="shared" si="3"/>
        <v>0</v>
      </c>
      <c r="AF27">
        <v>18</v>
      </c>
      <c r="AG27">
        <f t="shared" si="4"/>
        <v>22.924330591929486</v>
      </c>
      <c r="AH27">
        <f t="shared" si="5"/>
        <v>25.45584412271571</v>
      </c>
      <c r="AI27" s="94">
        <f t="shared" si="6"/>
        <v>0.32</v>
      </c>
    </row>
    <row r="28" spans="1:35">
      <c r="A28" s="4">
        <v>23</v>
      </c>
      <c r="B28" s="4" t="s">
        <v>1363</v>
      </c>
      <c r="C28" s="4">
        <v>20</v>
      </c>
      <c r="D28" s="4">
        <v>9.1</v>
      </c>
      <c r="E28" s="4">
        <v>7</v>
      </c>
      <c r="F28" s="4" t="s">
        <v>1469</v>
      </c>
      <c r="G28" s="4" t="s">
        <v>1529</v>
      </c>
      <c r="H28" s="4">
        <v>8</v>
      </c>
      <c r="I28" s="4">
        <v>16.600000000000001</v>
      </c>
      <c r="J28" s="4">
        <v>24.6</v>
      </c>
      <c r="K28" s="4">
        <v>41</v>
      </c>
      <c r="L28" s="4">
        <v>28</v>
      </c>
      <c r="M28" s="4">
        <v>179</v>
      </c>
      <c r="N28" s="4">
        <v>168</v>
      </c>
      <c r="O28" s="4">
        <v>6.8</v>
      </c>
      <c r="P28" s="4">
        <v>28900</v>
      </c>
      <c r="Q28" s="4">
        <v>1.8</v>
      </c>
      <c r="R28" s="4">
        <v>5.2</v>
      </c>
      <c r="S28" s="4">
        <v>35</v>
      </c>
      <c r="T28" s="4">
        <v>2.8</v>
      </c>
      <c r="U28" s="4">
        <v>361</v>
      </c>
      <c r="V28" s="4">
        <v>1</v>
      </c>
      <c r="W28" s="4">
        <v>2.54</v>
      </c>
      <c r="X28" s="4">
        <v>2430</v>
      </c>
      <c r="Y28" s="4">
        <v>0.4</v>
      </c>
      <c r="AA28">
        <f t="shared" si="1"/>
        <v>5.2947585383531388</v>
      </c>
      <c r="AB28">
        <f t="shared" si="0"/>
        <v>2.9078484425195237</v>
      </c>
      <c r="AC28">
        <f t="shared" si="2"/>
        <v>0.37352941176470589</v>
      </c>
      <c r="AD28">
        <f t="shared" si="3"/>
        <v>7.199999999999207E-3</v>
      </c>
      <c r="AF28">
        <v>19</v>
      </c>
      <c r="AG28">
        <f t="shared" si="4"/>
        <v>23.620115494225306</v>
      </c>
      <c r="AH28">
        <f t="shared" si="5"/>
        <v>26.153393661244046</v>
      </c>
      <c r="AI28" s="94">
        <f t="shared" si="6"/>
        <v>0.45499999999999996</v>
      </c>
    </row>
    <row r="29" spans="1:35">
      <c r="A29" s="4">
        <v>24</v>
      </c>
      <c r="B29" s="4" t="s">
        <v>1363</v>
      </c>
      <c r="C29" s="4">
        <v>20</v>
      </c>
      <c r="D29" s="4">
        <v>11</v>
      </c>
      <c r="E29" s="4">
        <v>7.8</v>
      </c>
      <c r="F29" s="4" t="s">
        <v>1519</v>
      </c>
      <c r="G29" s="4" t="s">
        <v>1525</v>
      </c>
      <c r="H29" s="4">
        <v>5.6</v>
      </c>
      <c r="I29" s="4">
        <v>25.86</v>
      </c>
      <c r="J29" s="4">
        <v>31.46</v>
      </c>
      <c r="K29" s="4">
        <v>41</v>
      </c>
      <c r="L29" s="4">
        <v>33</v>
      </c>
      <c r="M29" s="4">
        <v>178</v>
      </c>
      <c r="N29" s="4">
        <v>173</v>
      </c>
      <c r="O29" s="4">
        <v>10.53</v>
      </c>
      <c r="P29" s="9">
        <v>27400</v>
      </c>
      <c r="Q29" s="4">
        <v>2.27</v>
      </c>
      <c r="R29" s="4">
        <v>6.2</v>
      </c>
      <c r="S29" s="4">
        <v>65</v>
      </c>
      <c r="T29" s="4">
        <v>5</v>
      </c>
      <c r="U29" s="4">
        <v>345</v>
      </c>
      <c r="V29" s="4">
        <v>1.7</v>
      </c>
      <c r="W29" s="4">
        <v>3.86</v>
      </c>
      <c r="X29" s="4">
        <v>2010</v>
      </c>
      <c r="Y29" s="4">
        <v>0.4</v>
      </c>
      <c r="AA29">
        <f t="shared" si="1"/>
        <v>7.4287161843815381</v>
      </c>
      <c r="AB29">
        <f t="shared" si="0"/>
        <v>0.13785167174020385</v>
      </c>
      <c r="AC29">
        <f t="shared" si="2"/>
        <v>0.36657169990503324</v>
      </c>
      <c r="AD29">
        <f t="shared" si="3"/>
        <v>7.799999999999585E-3</v>
      </c>
      <c r="AF29">
        <v>20</v>
      </c>
      <c r="AG29">
        <f t="shared" si="4"/>
        <v>24.286422423451917</v>
      </c>
      <c r="AH29">
        <f t="shared" si="5"/>
        <v>26.832815729997478</v>
      </c>
      <c r="AI29" s="94">
        <f t="shared" si="6"/>
        <v>0.55000000000000004</v>
      </c>
    </row>
    <row r="30" spans="1:35">
      <c r="A30" s="4">
        <v>25</v>
      </c>
      <c r="B30" s="4" t="s">
        <v>1363</v>
      </c>
      <c r="C30" s="4">
        <v>20</v>
      </c>
      <c r="D30" s="4">
        <v>12</v>
      </c>
      <c r="E30" s="4">
        <v>7.5</v>
      </c>
      <c r="F30" s="4" t="s">
        <v>1519</v>
      </c>
      <c r="G30" s="4" t="s">
        <v>1525</v>
      </c>
      <c r="H30" s="4">
        <v>3.5</v>
      </c>
      <c r="I30" s="4">
        <v>34.71</v>
      </c>
      <c r="J30" s="4">
        <v>38.21</v>
      </c>
      <c r="K30" s="4">
        <v>36</v>
      </c>
      <c r="L30" s="4">
        <v>33</v>
      </c>
      <c r="M30" s="4">
        <v>166</v>
      </c>
      <c r="N30" s="4">
        <v>152</v>
      </c>
      <c r="O30" s="4">
        <v>12.46</v>
      </c>
      <c r="P30" s="4">
        <v>41300</v>
      </c>
      <c r="Q30" s="4">
        <v>1.54</v>
      </c>
      <c r="R30" s="4">
        <v>6.4</v>
      </c>
      <c r="S30" s="4">
        <v>80</v>
      </c>
      <c r="T30" s="4">
        <v>4.5999999999999996</v>
      </c>
      <c r="U30" s="4">
        <v>389</v>
      </c>
      <c r="V30" s="4">
        <v>1.8</v>
      </c>
      <c r="W30" s="4">
        <v>4.95</v>
      </c>
      <c r="X30" s="4">
        <v>2710</v>
      </c>
      <c r="Y30" s="4">
        <v>0.4</v>
      </c>
      <c r="AA30">
        <f t="shared" si="1"/>
        <v>9.0233688542805854</v>
      </c>
      <c r="AB30">
        <f t="shared" si="0"/>
        <v>2.3206526661921436</v>
      </c>
      <c r="AC30">
        <f t="shared" si="2"/>
        <v>0.3972712680577849</v>
      </c>
      <c r="AD30">
        <f t="shared" si="3"/>
        <v>1.3999999999999346E-2</v>
      </c>
      <c r="AF30">
        <v>21</v>
      </c>
      <c r="AG30">
        <f t="shared" si="4"/>
        <v>24.92533232887331</v>
      </c>
      <c r="AH30">
        <f t="shared" si="5"/>
        <v>27.495454169735041</v>
      </c>
      <c r="AI30" s="94">
        <f t="shared" si="6"/>
        <v>0.6</v>
      </c>
    </row>
    <row r="31" spans="1:35">
      <c r="A31" s="4">
        <v>26</v>
      </c>
      <c r="B31" s="4" t="s">
        <v>1364</v>
      </c>
      <c r="C31" s="4">
        <v>20</v>
      </c>
      <c r="D31" s="4">
        <v>6.4</v>
      </c>
      <c r="E31" s="4">
        <v>6.1</v>
      </c>
      <c r="F31" s="4" t="s">
        <v>1518</v>
      </c>
      <c r="G31" s="4" t="s">
        <v>1524</v>
      </c>
      <c r="H31" s="4">
        <v>8.5</v>
      </c>
      <c r="I31" s="4">
        <v>6.09</v>
      </c>
      <c r="J31" s="4">
        <v>14.59</v>
      </c>
      <c r="K31" s="4">
        <v>51</v>
      </c>
      <c r="L31" s="4">
        <v>21</v>
      </c>
      <c r="M31" s="4">
        <v>177</v>
      </c>
      <c r="N31" s="4">
        <v>164</v>
      </c>
      <c r="O31" s="4">
        <v>3.12</v>
      </c>
      <c r="P31" s="4">
        <v>46900</v>
      </c>
      <c r="Q31" s="4">
        <v>1.2</v>
      </c>
      <c r="R31" s="4">
        <v>5.6</v>
      </c>
      <c r="S31" s="4">
        <v>17</v>
      </c>
      <c r="T31" s="4">
        <v>1.4</v>
      </c>
      <c r="U31" s="4">
        <v>369</v>
      </c>
      <c r="V31" s="4">
        <v>0.5</v>
      </c>
      <c r="W31" s="4">
        <v>1.18</v>
      </c>
      <c r="X31" s="4">
        <v>2230</v>
      </c>
      <c r="Y31" s="4">
        <v>0.4</v>
      </c>
      <c r="AA31">
        <f t="shared" si="1"/>
        <v>2.7728451998902162</v>
      </c>
      <c r="AB31">
        <f t="shared" si="0"/>
        <v>11.069959063893574</v>
      </c>
      <c r="AC31">
        <f t="shared" si="2"/>
        <v>0.37820512820512819</v>
      </c>
      <c r="AD31">
        <f t="shared" si="3"/>
        <v>-4.8000000000008036E-3</v>
      </c>
      <c r="AF31">
        <v>22</v>
      </c>
      <c r="AG31">
        <f t="shared" si="4"/>
        <v>25.538723400066871</v>
      </c>
      <c r="AH31">
        <f t="shared" si="5"/>
        <v>28.142494558940577</v>
      </c>
      <c r="AI31" s="94">
        <f t="shared" si="6"/>
        <v>0.32</v>
      </c>
    </row>
    <row r="32" spans="1:35">
      <c r="A32" s="4">
        <v>27</v>
      </c>
      <c r="B32" s="4" t="s">
        <v>1365</v>
      </c>
      <c r="C32" s="4">
        <v>20</v>
      </c>
      <c r="D32" s="4">
        <v>8</v>
      </c>
      <c r="E32" s="4">
        <v>6.6</v>
      </c>
      <c r="F32" s="4" t="s">
        <v>1518</v>
      </c>
      <c r="G32" s="4" t="s">
        <v>1526</v>
      </c>
      <c r="H32" s="4">
        <v>8.3000000000000007</v>
      </c>
      <c r="I32" s="4">
        <v>7.68</v>
      </c>
      <c r="J32" s="4">
        <v>15.98</v>
      </c>
      <c r="K32" s="4">
        <v>47</v>
      </c>
      <c r="L32" s="4">
        <v>23</v>
      </c>
      <c r="M32" s="4">
        <v>176</v>
      </c>
      <c r="N32" s="4">
        <v>157</v>
      </c>
      <c r="O32" s="4">
        <v>3.6</v>
      </c>
      <c r="P32" s="4">
        <v>36400</v>
      </c>
      <c r="Q32" s="4">
        <v>1.45</v>
      </c>
      <c r="R32" s="4">
        <v>5.3</v>
      </c>
      <c r="S32" s="4">
        <v>19</v>
      </c>
      <c r="T32" s="4">
        <v>2.1</v>
      </c>
      <c r="U32" s="4">
        <v>370</v>
      </c>
      <c r="V32" s="4">
        <v>0.8</v>
      </c>
      <c r="W32" s="4">
        <v>1.4</v>
      </c>
      <c r="X32" s="4">
        <v>1710</v>
      </c>
      <c r="Y32" s="4">
        <v>0.6</v>
      </c>
      <c r="AA32">
        <f t="shared" si="1"/>
        <v>3.2103621121933634</v>
      </c>
      <c r="AB32">
        <f t="shared" si="0"/>
        <v>11.489645010454234</v>
      </c>
      <c r="AC32">
        <f t="shared" si="2"/>
        <v>0.38888888888888884</v>
      </c>
      <c r="AD32">
        <f t="shared" si="3"/>
        <v>-1.9999999999997797E-3</v>
      </c>
      <c r="AF32">
        <v>23</v>
      </c>
      <c r="AG32">
        <f t="shared" si="4"/>
        <v>26.12829614844582</v>
      </c>
      <c r="AH32">
        <f t="shared" si="5"/>
        <v>28.774989139876315</v>
      </c>
      <c r="AI32" s="94">
        <f t="shared" si="6"/>
        <v>0.4</v>
      </c>
    </row>
    <row r="33" spans="1:35">
      <c r="A33" s="4">
        <v>28</v>
      </c>
      <c r="B33" s="4" t="s">
        <v>1365</v>
      </c>
      <c r="C33" s="4">
        <v>20</v>
      </c>
      <c r="D33" s="4">
        <v>8.6999999999999993</v>
      </c>
      <c r="E33" s="4">
        <v>7.7</v>
      </c>
      <c r="F33" s="4" t="s">
        <v>1469</v>
      </c>
      <c r="G33" s="4" t="s">
        <v>1529</v>
      </c>
      <c r="H33" s="4">
        <v>7</v>
      </c>
      <c r="I33" s="4">
        <v>13.84</v>
      </c>
      <c r="J33" s="4">
        <v>20.84</v>
      </c>
      <c r="K33" s="4">
        <v>43</v>
      </c>
      <c r="L33" s="4">
        <v>29</v>
      </c>
      <c r="M33" s="4">
        <v>182</v>
      </c>
      <c r="N33" s="4">
        <v>157</v>
      </c>
      <c r="O33" s="4">
        <v>5.96</v>
      </c>
      <c r="P33" s="4">
        <v>40500</v>
      </c>
      <c r="Q33" s="4">
        <v>1.2</v>
      </c>
      <c r="R33" s="4">
        <v>4.9000000000000004</v>
      </c>
      <c r="S33" s="4">
        <v>29</v>
      </c>
      <c r="T33" s="4">
        <v>3.4</v>
      </c>
      <c r="U33" s="4">
        <v>357</v>
      </c>
      <c r="V33" s="4">
        <v>1.2</v>
      </c>
      <c r="W33" s="4">
        <v>2.3199999999999998</v>
      </c>
      <c r="X33" s="4">
        <v>1750</v>
      </c>
      <c r="Y33" s="4">
        <v>0.5</v>
      </c>
      <c r="AA33">
        <f t="shared" si="1"/>
        <v>4.9127588937989062</v>
      </c>
      <c r="AB33">
        <f t="shared" si="0"/>
        <v>7.7687129840970979</v>
      </c>
      <c r="AC33">
        <f t="shared" si="2"/>
        <v>0.38926174496644295</v>
      </c>
      <c r="AD33">
        <f t="shared" si="3"/>
        <v>2.4000000000006239E-3</v>
      </c>
      <c r="AF33">
        <v>24</v>
      </c>
      <c r="AG33">
        <f t="shared" si="4"/>
        <v>26.695594737726612</v>
      </c>
      <c r="AH33">
        <f t="shared" si="5"/>
        <v>29.393876913398135</v>
      </c>
      <c r="AI33" s="94">
        <f t="shared" si="6"/>
        <v>0.43499999999999994</v>
      </c>
    </row>
    <row r="34" spans="1:35">
      <c r="A34" s="4">
        <v>29</v>
      </c>
      <c r="B34" s="4" t="s">
        <v>1365</v>
      </c>
      <c r="C34" s="4">
        <v>20</v>
      </c>
      <c r="D34" s="4">
        <v>11.4</v>
      </c>
      <c r="E34" s="4">
        <v>7.2</v>
      </c>
      <c r="F34" s="4" t="s">
        <v>1519</v>
      </c>
      <c r="G34" s="4" t="s">
        <v>1529</v>
      </c>
      <c r="H34" s="4">
        <v>5.9</v>
      </c>
      <c r="I34" s="4">
        <v>29.82</v>
      </c>
      <c r="J34" s="4">
        <v>35.72</v>
      </c>
      <c r="K34" s="4">
        <v>39</v>
      </c>
      <c r="L34" s="4">
        <v>33</v>
      </c>
      <c r="M34" s="4">
        <v>176</v>
      </c>
      <c r="N34" s="4">
        <v>160</v>
      </c>
      <c r="O34" s="4">
        <v>11.67</v>
      </c>
      <c r="P34" s="4">
        <v>36600</v>
      </c>
      <c r="Q34" s="4">
        <v>1.17</v>
      </c>
      <c r="R34" s="4">
        <v>4.3</v>
      </c>
      <c r="S34" s="4">
        <v>50</v>
      </c>
      <c r="T34" s="4">
        <v>5.0999999999999996</v>
      </c>
      <c r="U34" s="4">
        <v>315</v>
      </c>
      <c r="V34" s="4">
        <v>1.6</v>
      </c>
      <c r="W34" s="4">
        <v>4.4800000000000004</v>
      </c>
      <c r="X34" s="4">
        <v>2290</v>
      </c>
      <c r="Y34" s="4">
        <v>0.4</v>
      </c>
      <c r="AA34">
        <f t="shared" si="1"/>
        <v>8.3520356303813781</v>
      </c>
      <c r="AB34">
        <f t="shared" si="0"/>
        <v>1.3271860936682187</v>
      </c>
      <c r="AC34">
        <f t="shared" si="2"/>
        <v>0.38389031705227084</v>
      </c>
      <c r="AD34">
        <f t="shared" si="3"/>
        <v>-2.1999999999998465E-2</v>
      </c>
      <c r="AF34">
        <v>25</v>
      </c>
      <c r="AG34">
        <f t="shared" si="4"/>
        <v>27.242025219960379</v>
      </c>
      <c r="AH34">
        <f t="shared" si="5"/>
        <v>30</v>
      </c>
      <c r="AI34" s="94">
        <f t="shared" si="6"/>
        <v>0.57000000000000006</v>
      </c>
    </row>
    <row r="35" spans="1:35">
      <c r="A35" s="4">
        <v>30</v>
      </c>
      <c r="B35" s="4" t="s">
        <v>1366</v>
      </c>
      <c r="C35" s="4">
        <v>20</v>
      </c>
      <c r="D35" s="4">
        <v>6.8</v>
      </c>
      <c r="E35" s="4">
        <v>7.8</v>
      </c>
      <c r="F35" s="4" t="s">
        <v>1469</v>
      </c>
      <c r="G35" s="4" t="s">
        <v>1526</v>
      </c>
      <c r="H35" s="4">
        <v>14.8</v>
      </c>
      <c r="I35" s="4">
        <v>12.2</v>
      </c>
      <c r="J35" s="4">
        <v>27</v>
      </c>
      <c r="K35" s="4">
        <v>46</v>
      </c>
      <c r="L35" s="4">
        <v>21</v>
      </c>
      <c r="M35" s="4">
        <v>157</v>
      </c>
      <c r="N35" s="4">
        <v>167</v>
      </c>
      <c r="O35" s="4">
        <v>5.6</v>
      </c>
      <c r="P35" s="4">
        <v>28000</v>
      </c>
      <c r="Q35" s="4">
        <v>1.52</v>
      </c>
      <c r="R35" s="4">
        <v>4.3</v>
      </c>
      <c r="S35" s="4">
        <v>24</v>
      </c>
      <c r="T35" s="4">
        <v>2.2999999999999998</v>
      </c>
      <c r="U35" s="4">
        <v>421</v>
      </c>
      <c r="V35" s="4">
        <v>1</v>
      </c>
      <c r="W35" s="4">
        <v>2.1</v>
      </c>
      <c r="X35" s="4">
        <v>2430</v>
      </c>
      <c r="Y35" s="4">
        <v>0.5</v>
      </c>
      <c r="AA35">
        <f t="shared" si="1"/>
        <v>4.5219036868482112</v>
      </c>
      <c r="AB35">
        <f t="shared" si="0"/>
        <v>10.745915438299349</v>
      </c>
      <c r="AC35">
        <f t="shared" si="2"/>
        <v>0.37500000000000006</v>
      </c>
      <c r="AD35">
        <f t="shared" si="3"/>
        <v>7.0000000000005613E-3</v>
      </c>
      <c r="AF35">
        <v>26</v>
      </c>
      <c r="AG35">
        <f t="shared" si="4"/>
        <v>27.768871202299394</v>
      </c>
      <c r="AH35">
        <f t="shared" si="5"/>
        <v>30.594117081556707</v>
      </c>
      <c r="AI35" s="94">
        <f t="shared" si="6"/>
        <v>0.33999999999999997</v>
      </c>
    </row>
    <row r="36" spans="1:35">
      <c r="A36" s="4">
        <v>31</v>
      </c>
      <c r="B36" s="4" t="s">
        <v>1367</v>
      </c>
      <c r="C36" s="4">
        <v>20</v>
      </c>
      <c r="D36" s="4">
        <v>7.7</v>
      </c>
      <c r="E36" s="4">
        <v>7.6</v>
      </c>
      <c r="F36" s="4" t="s">
        <v>1518</v>
      </c>
      <c r="G36" s="4" t="s">
        <v>1527</v>
      </c>
      <c r="H36" s="4">
        <v>9.3000000000000007</v>
      </c>
      <c r="I36" s="4">
        <v>8.48</v>
      </c>
      <c r="J36" s="4">
        <v>17.78</v>
      </c>
      <c r="K36" s="4">
        <v>46</v>
      </c>
      <c r="L36" s="4">
        <v>22</v>
      </c>
      <c r="M36" s="4">
        <v>180</v>
      </c>
      <c r="N36" s="4">
        <v>163</v>
      </c>
      <c r="O36" s="4">
        <v>3.89</v>
      </c>
      <c r="P36" s="4">
        <v>36200</v>
      </c>
      <c r="Q36" s="4">
        <v>1.58</v>
      </c>
      <c r="R36" s="4">
        <v>5.7</v>
      </c>
      <c r="S36" s="4">
        <v>22</v>
      </c>
      <c r="T36" s="4">
        <v>2.2000000000000002</v>
      </c>
      <c r="U36" s="4">
        <v>352</v>
      </c>
      <c r="V36" s="4">
        <v>0.8</v>
      </c>
      <c r="W36" s="4">
        <v>1.49</v>
      </c>
      <c r="X36" s="4">
        <v>1770</v>
      </c>
      <c r="Y36" s="4">
        <v>0.5</v>
      </c>
      <c r="AA36">
        <f t="shared" si="1"/>
        <v>3.385491413025437</v>
      </c>
      <c r="AB36">
        <f t="shared" si="0"/>
        <v>17.762082629682325</v>
      </c>
      <c r="AC36">
        <f t="shared" si="2"/>
        <v>0.38303341902313626</v>
      </c>
      <c r="AD36">
        <f t="shared" si="3"/>
        <v>2.8699999999999726E-2</v>
      </c>
      <c r="AF36">
        <v>27</v>
      </c>
      <c r="AG36">
        <f t="shared" si="4"/>
        <v>28.277307367790673</v>
      </c>
      <c r="AH36">
        <f t="shared" si="5"/>
        <v>31.176914536239792</v>
      </c>
      <c r="AI36" s="94">
        <f t="shared" si="6"/>
        <v>0.38500000000000001</v>
      </c>
    </row>
    <row r="37" spans="1:35">
      <c r="A37" s="4">
        <v>32</v>
      </c>
      <c r="B37" s="4" t="s">
        <v>1367</v>
      </c>
      <c r="C37" s="4">
        <v>20</v>
      </c>
      <c r="D37" s="4">
        <v>9.6</v>
      </c>
      <c r="E37" s="4">
        <v>8.3000000000000007</v>
      </c>
      <c r="F37" s="4" t="s">
        <v>1519</v>
      </c>
      <c r="G37" s="4" t="s">
        <v>1527</v>
      </c>
      <c r="H37" s="4">
        <v>5.95</v>
      </c>
      <c r="I37" s="4">
        <v>21.92</v>
      </c>
      <c r="J37" s="4">
        <v>27.87</v>
      </c>
      <c r="K37" s="4">
        <v>40</v>
      </c>
      <c r="L37" s="4">
        <v>32</v>
      </c>
      <c r="M37" s="4">
        <v>164</v>
      </c>
      <c r="N37" s="4">
        <v>163</v>
      </c>
      <c r="O37" s="4">
        <v>8.86</v>
      </c>
      <c r="P37" s="4">
        <v>36900</v>
      </c>
      <c r="Q37" s="4">
        <v>1.22</v>
      </c>
      <c r="R37" s="4">
        <v>4.5</v>
      </c>
      <c r="S37" s="4">
        <v>38</v>
      </c>
      <c r="T37" s="4">
        <v>4.5</v>
      </c>
      <c r="U37" s="4">
        <v>355</v>
      </c>
      <c r="V37" s="4">
        <v>1.6</v>
      </c>
      <c r="W37" s="4">
        <v>3.37</v>
      </c>
      <c r="X37" s="4">
        <v>1970</v>
      </c>
      <c r="Y37" s="4">
        <v>0.5</v>
      </c>
      <c r="AA37">
        <f t="shared" si="1"/>
        <v>6.6654561346279433</v>
      </c>
      <c r="AB37">
        <f t="shared" si="0"/>
        <v>2.6717336478254268</v>
      </c>
      <c r="AC37">
        <f t="shared" si="2"/>
        <v>0.38036117381489848</v>
      </c>
      <c r="AD37">
        <f t="shared" si="3"/>
        <v>3.0999999999998806E-3</v>
      </c>
      <c r="AF37">
        <v>28</v>
      </c>
      <c r="AG37">
        <f t="shared" si="4"/>
        <v>28.768411193807285</v>
      </c>
      <c r="AH37">
        <f t="shared" si="5"/>
        <v>31.749015732775089</v>
      </c>
      <c r="AI37" s="94">
        <f t="shared" si="6"/>
        <v>0.48</v>
      </c>
    </row>
    <row r="38" spans="1:35">
      <c r="A38" s="4">
        <v>33</v>
      </c>
      <c r="B38" s="4" t="s">
        <v>1367</v>
      </c>
      <c r="C38" s="4">
        <v>20</v>
      </c>
      <c r="D38" s="4">
        <v>12.2</v>
      </c>
      <c r="E38" s="4">
        <v>8.6</v>
      </c>
      <c r="F38" s="4" t="s">
        <v>1519</v>
      </c>
      <c r="G38" s="4" t="s">
        <v>1527</v>
      </c>
      <c r="H38" s="4">
        <v>5.15</v>
      </c>
      <c r="I38" s="4">
        <v>32.81</v>
      </c>
      <c r="J38" s="4">
        <v>37.96</v>
      </c>
      <c r="K38" s="4">
        <v>28</v>
      </c>
      <c r="L38" s="4">
        <v>24</v>
      </c>
      <c r="M38" s="4">
        <v>166</v>
      </c>
      <c r="N38" s="4">
        <v>167</v>
      </c>
      <c r="O38" s="4">
        <v>9.3000000000000007</v>
      </c>
      <c r="P38" s="4">
        <v>36000</v>
      </c>
      <c r="Q38" s="4">
        <v>1.6</v>
      </c>
      <c r="R38" s="4">
        <v>5.8</v>
      </c>
      <c r="S38" s="4">
        <v>54</v>
      </c>
      <c r="T38" s="4">
        <v>5.7</v>
      </c>
      <c r="U38" s="4">
        <v>367</v>
      </c>
      <c r="V38" s="4">
        <v>2.1</v>
      </c>
      <c r="W38" s="4">
        <v>3.48</v>
      </c>
      <c r="X38" s="4">
        <v>1630</v>
      </c>
      <c r="Y38" s="4">
        <v>0.6</v>
      </c>
      <c r="AA38">
        <f t="shared" si="1"/>
        <v>6.8395569463220243</v>
      </c>
      <c r="AB38">
        <f t="shared" si="0"/>
        <v>3.0991597452430351</v>
      </c>
      <c r="AC38">
        <f t="shared" si="2"/>
        <v>0.37419354838709673</v>
      </c>
      <c r="AD38">
        <f t="shared" si="3"/>
        <v>-8.4000000000017394E-3</v>
      </c>
      <c r="AF38">
        <v>29</v>
      </c>
      <c r="AG38">
        <f t="shared" si="4"/>
        <v>29.243173148887511</v>
      </c>
      <c r="AH38">
        <f t="shared" si="5"/>
        <v>32.310988842807021</v>
      </c>
      <c r="AI38" s="94">
        <f t="shared" si="6"/>
        <v>0.61</v>
      </c>
    </row>
    <row r="39" spans="1:35">
      <c r="A39" s="4">
        <v>34</v>
      </c>
      <c r="B39" s="4" t="s">
        <v>1368</v>
      </c>
      <c r="C39" s="4">
        <v>20</v>
      </c>
      <c r="D39" s="4">
        <v>5.2</v>
      </c>
      <c r="E39" s="4">
        <v>8</v>
      </c>
      <c r="F39" s="4" t="s">
        <v>1518</v>
      </c>
      <c r="G39" s="4" t="s">
        <v>1525</v>
      </c>
      <c r="H39" s="4">
        <v>11.65</v>
      </c>
      <c r="I39" s="4">
        <v>3.63</v>
      </c>
      <c r="J39" s="4">
        <v>15.28</v>
      </c>
      <c r="K39" s="4">
        <v>42</v>
      </c>
      <c r="L39" s="4">
        <v>10</v>
      </c>
      <c r="M39" s="4">
        <v>164</v>
      </c>
      <c r="N39" s="4">
        <v>170</v>
      </c>
      <c r="O39" s="4">
        <v>1.51</v>
      </c>
      <c r="P39" s="4">
        <v>28100</v>
      </c>
      <c r="Q39" s="4">
        <v>2.15</v>
      </c>
      <c r="R39" s="4">
        <v>6</v>
      </c>
      <c r="S39" s="4">
        <v>9</v>
      </c>
      <c r="T39" s="4">
        <v>1.3</v>
      </c>
      <c r="U39" s="4">
        <v>370</v>
      </c>
      <c r="V39" s="4">
        <v>0.5</v>
      </c>
      <c r="W39" s="4">
        <v>0.56000000000000005</v>
      </c>
      <c r="X39" s="4">
        <v>1160</v>
      </c>
      <c r="Y39" s="4">
        <v>0.9</v>
      </c>
      <c r="AA39">
        <f t="shared" si="1"/>
        <v>1.4491747372556552</v>
      </c>
      <c r="AB39">
        <f t="shared" si="0"/>
        <v>42.91331162300952</v>
      </c>
      <c r="AC39">
        <f t="shared" si="2"/>
        <v>0.37086092715231789</v>
      </c>
      <c r="AD39">
        <f t="shared" si="3"/>
        <v>2.0000000000002238E-3</v>
      </c>
      <c r="AF39">
        <v>30</v>
      </c>
      <c r="AG39">
        <f t="shared" si="4"/>
        <v>29.702505598810596</v>
      </c>
      <c r="AH39">
        <f t="shared" si="5"/>
        <v>32.863353450309965</v>
      </c>
      <c r="AI39" s="94">
        <f t="shared" si="6"/>
        <v>0.26</v>
      </c>
    </row>
    <row r="40" spans="1:35">
      <c r="A40" s="4">
        <v>35</v>
      </c>
      <c r="B40" s="4" t="s">
        <v>1369</v>
      </c>
      <c r="C40" s="4">
        <v>20</v>
      </c>
      <c r="D40" s="4">
        <v>7.4</v>
      </c>
      <c r="E40" s="4">
        <v>8.5</v>
      </c>
      <c r="F40" s="4" t="s">
        <v>1469</v>
      </c>
      <c r="G40" s="4" t="s">
        <v>1528</v>
      </c>
      <c r="H40" s="4">
        <v>12.85</v>
      </c>
      <c r="I40" s="4">
        <v>7.1</v>
      </c>
      <c r="J40" s="4">
        <v>19.95</v>
      </c>
      <c r="K40" s="4">
        <v>41</v>
      </c>
      <c r="L40" s="4">
        <v>15</v>
      </c>
      <c r="M40" s="4">
        <v>187</v>
      </c>
      <c r="N40" s="4" t="s">
        <v>1370</v>
      </c>
      <c r="O40" s="4">
        <v>2.9</v>
      </c>
      <c r="P40" s="4">
        <v>26800</v>
      </c>
      <c r="Q40" s="4">
        <v>2.39</v>
      </c>
      <c r="R40" s="4">
        <v>6.4</v>
      </c>
      <c r="S40" s="4">
        <v>19</v>
      </c>
      <c r="T40" s="4">
        <v>2</v>
      </c>
      <c r="U40" s="4">
        <v>336</v>
      </c>
      <c r="V40" s="4">
        <v>0.7</v>
      </c>
      <c r="W40" s="4">
        <v>1.1000000000000001</v>
      </c>
      <c r="X40" s="4">
        <v>1450</v>
      </c>
      <c r="Y40" s="4">
        <v>0.6</v>
      </c>
      <c r="AA40">
        <f t="shared" si="1"/>
        <v>2.6101567223066877</v>
      </c>
      <c r="AB40">
        <f t="shared" si="0"/>
        <v>34.690253835789107</v>
      </c>
      <c r="AC40">
        <f t="shared" si="2"/>
        <v>0.37931034482758624</v>
      </c>
      <c r="AD40" t="e">
        <f t="shared" si="3"/>
        <v>#VALUE!</v>
      </c>
      <c r="AI40" s="94">
        <f t="shared" si="6"/>
        <v>0.37</v>
      </c>
    </row>
    <row r="41" spans="1:35">
      <c r="A41" s="4">
        <v>36</v>
      </c>
      <c r="B41" s="4" t="s">
        <v>1369</v>
      </c>
      <c r="C41" s="4">
        <v>20</v>
      </c>
      <c r="D41" s="4">
        <v>8.1999999999999993</v>
      </c>
      <c r="E41" s="4">
        <v>8.6</v>
      </c>
      <c r="F41" s="4" t="s">
        <v>1469</v>
      </c>
      <c r="G41" s="4" t="s">
        <v>1526</v>
      </c>
      <c r="H41" s="4">
        <v>10.65</v>
      </c>
      <c r="I41" s="4">
        <v>10.55</v>
      </c>
      <c r="J41" s="4">
        <v>21.2</v>
      </c>
      <c r="K41" s="4">
        <v>44</v>
      </c>
      <c r="L41" s="4">
        <v>22</v>
      </c>
      <c r="M41" s="4">
        <v>192</v>
      </c>
      <c r="N41" s="5" t="s">
        <v>1370</v>
      </c>
      <c r="O41" s="4">
        <v>4.63</v>
      </c>
      <c r="P41" s="4">
        <v>39100</v>
      </c>
      <c r="Q41" s="4">
        <v>1.33</v>
      </c>
      <c r="R41" s="4">
        <v>5.2</v>
      </c>
      <c r="S41" s="4">
        <v>24</v>
      </c>
      <c r="T41" s="4">
        <v>2.6</v>
      </c>
      <c r="U41" s="4">
        <v>350</v>
      </c>
      <c r="V41" s="4">
        <v>0.9</v>
      </c>
      <c r="W41" s="4">
        <v>1.74</v>
      </c>
      <c r="X41" s="4">
        <v>1780</v>
      </c>
      <c r="Y41" s="4">
        <v>0.5</v>
      </c>
      <c r="AA41">
        <f t="shared" si="1"/>
        <v>3.861342570594779</v>
      </c>
      <c r="AB41">
        <f t="shared" si="0"/>
        <v>22.454874233257293</v>
      </c>
      <c r="AC41">
        <f t="shared" si="2"/>
        <v>0.37580993520518358</v>
      </c>
      <c r="AD41" t="e">
        <f t="shared" si="3"/>
        <v>#VALUE!</v>
      </c>
      <c r="AI41" s="94">
        <f t="shared" si="6"/>
        <v>0.41</v>
      </c>
    </row>
    <row r="42" spans="1:35">
      <c r="A42" s="4">
        <v>37</v>
      </c>
      <c r="B42" s="4" t="s">
        <v>1369</v>
      </c>
      <c r="C42" s="4">
        <v>20</v>
      </c>
      <c r="D42" s="4">
        <v>10.1</v>
      </c>
      <c r="E42" s="4">
        <v>9.4</v>
      </c>
      <c r="F42" s="4" t="s">
        <v>1519</v>
      </c>
      <c r="G42" s="4" t="s">
        <v>1527</v>
      </c>
      <c r="H42" s="4">
        <v>6.85</v>
      </c>
      <c r="I42" s="4">
        <v>19.2</v>
      </c>
      <c r="J42" s="4">
        <v>26.05</v>
      </c>
      <c r="K42" s="4">
        <v>35</v>
      </c>
      <c r="L42" s="4">
        <v>26</v>
      </c>
      <c r="M42" s="5">
        <v>163</v>
      </c>
      <c r="N42" s="4" t="s">
        <v>1370</v>
      </c>
      <c r="O42" s="4">
        <v>6.78</v>
      </c>
      <c r="P42" s="4">
        <v>30200</v>
      </c>
      <c r="Q42" s="4">
        <v>1.82</v>
      </c>
      <c r="R42" s="4">
        <v>5.5</v>
      </c>
      <c r="S42" s="4">
        <v>37</v>
      </c>
      <c r="T42" s="4">
        <v>4.4000000000000004</v>
      </c>
      <c r="U42" s="4">
        <v>412</v>
      </c>
      <c r="V42" s="4">
        <v>1.8</v>
      </c>
      <c r="W42" s="4">
        <v>2.61</v>
      </c>
      <c r="X42" s="4">
        <v>1540</v>
      </c>
      <c r="Y42" s="4">
        <v>0.7</v>
      </c>
      <c r="AA42">
        <f t="shared" si="1"/>
        <v>5.4145444012580954</v>
      </c>
      <c r="AB42">
        <f t="shared" si="0"/>
        <v>15.883856329543196</v>
      </c>
      <c r="AC42">
        <f t="shared" si="2"/>
        <v>0.38495575221238937</v>
      </c>
      <c r="AD42" t="e">
        <f t="shared" si="3"/>
        <v>#VALUE!</v>
      </c>
      <c r="AI42" s="94">
        <f t="shared" si="6"/>
        <v>0.505</v>
      </c>
    </row>
    <row r="43" spans="1:35">
      <c r="A43" s="4">
        <v>38</v>
      </c>
      <c r="B43" s="4" t="s">
        <v>1369</v>
      </c>
      <c r="C43" s="4">
        <v>20</v>
      </c>
      <c r="D43" s="4">
        <v>11.5</v>
      </c>
      <c r="E43" s="4">
        <v>9.3000000000000007</v>
      </c>
      <c r="F43" s="4" t="s">
        <v>1519</v>
      </c>
      <c r="G43" s="4" t="s">
        <v>1527</v>
      </c>
      <c r="H43" s="5">
        <v>5.7</v>
      </c>
      <c r="I43" s="4">
        <v>23.22</v>
      </c>
      <c r="J43" s="4">
        <v>28.92</v>
      </c>
      <c r="K43" s="5">
        <v>35</v>
      </c>
      <c r="L43" s="5">
        <v>28</v>
      </c>
      <c r="M43" s="4">
        <v>194</v>
      </c>
      <c r="N43" s="4" t="s">
        <v>1371</v>
      </c>
      <c r="O43" s="4">
        <v>8.17</v>
      </c>
      <c r="P43" s="4">
        <v>40000</v>
      </c>
      <c r="Q43" s="4">
        <v>1.47</v>
      </c>
      <c r="R43" s="4">
        <v>7</v>
      </c>
      <c r="S43" s="4">
        <v>57</v>
      </c>
      <c r="T43" s="4">
        <v>6.4</v>
      </c>
      <c r="U43" s="4">
        <v>308</v>
      </c>
      <c r="V43" s="4">
        <v>2</v>
      </c>
      <c r="W43" s="4">
        <v>2.98</v>
      </c>
      <c r="X43" s="4">
        <v>1280</v>
      </c>
      <c r="Y43" s="4">
        <v>0.7</v>
      </c>
      <c r="AA43">
        <f t="shared" si="1"/>
        <v>6.0344562582628036</v>
      </c>
      <c r="AB43">
        <f t="shared" si="0"/>
        <v>10.663775929198973</v>
      </c>
      <c r="AC43">
        <f t="shared" si="2"/>
        <v>0.36474908200734396</v>
      </c>
      <c r="AD43" t="e">
        <f t="shared" si="3"/>
        <v>#VALUE!</v>
      </c>
      <c r="AI43" s="94">
        <f t="shared" si="6"/>
        <v>0.57499999999999996</v>
      </c>
    </row>
    <row r="44" spans="1:35">
      <c r="A44" s="4">
        <v>39</v>
      </c>
      <c r="B44" s="4" t="s">
        <v>1372</v>
      </c>
      <c r="C44" s="4">
        <v>20</v>
      </c>
      <c r="D44" s="4">
        <v>4.5999999999999996</v>
      </c>
      <c r="E44" s="4">
        <v>4.5</v>
      </c>
      <c r="F44" s="4" t="s">
        <v>1518</v>
      </c>
      <c r="G44" s="4" t="s">
        <v>1524</v>
      </c>
      <c r="H44" s="4">
        <v>5.3</v>
      </c>
      <c r="I44" s="4">
        <v>1.97</v>
      </c>
      <c r="J44" s="4">
        <v>7.27</v>
      </c>
      <c r="K44" s="4">
        <v>48</v>
      </c>
      <c r="L44" s="4">
        <v>13</v>
      </c>
      <c r="M44" s="4">
        <v>146</v>
      </c>
      <c r="N44" s="4" t="s">
        <v>1373</v>
      </c>
      <c r="O44" s="4">
        <v>0.95</v>
      </c>
      <c r="P44" s="4">
        <v>42800</v>
      </c>
      <c r="Q44" s="4">
        <v>1.21</v>
      </c>
      <c r="R44" s="4">
        <v>5.2</v>
      </c>
      <c r="S44" s="4">
        <v>5</v>
      </c>
      <c r="T44" s="4">
        <v>0.7</v>
      </c>
      <c r="U44" s="4">
        <v>403</v>
      </c>
      <c r="V44" s="4">
        <v>0.3</v>
      </c>
      <c r="W44" s="4">
        <v>0.38</v>
      </c>
      <c r="X44" s="4">
        <v>1360</v>
      </c>
      <c r="Y44" s="4">
        <v>0.8</v>
      </c>
      <c r="AA44">
        <f t="shared" si="1"/>
        <v>1.0292799865327591</v>
      </c>
      <c r="AB44">
        <f t="shared" si="0"/>
        <v>12.045897411882043</v>
      </c>
      <c r="AC44">
        <f t="shared" si="2"/>
        <v>0.4</v>
      </c>
      <c r="AD44" t="e">
        <f t="shared" si="3"/>
        <v>#VALUE!</v>
      </c>
      <c r="AI44" s="94">
        <f t="shared" si="6"/>
        <v>0.22999999999999998</v>
      </c>
    </row>
    <row r="45" spans="1:35">
      <c r="A45" s="4">
        <v>40</v>
      </c>
      <c r="B45" s="4" t="s">
        <v>1374</v>
      </c>
      <c r="C45" s="4">
        <v>20</v>
      </c>
      <c r="D45" s="4">
        <v>5.5</v>
      </c>
      <c r="E45" s="4">
        <v>5.4</v>
      </c>
      <c r="F45" s="4" t="s">
        <v>1518</v>
      </c>
      <c r="G45" s="4" t="s">
        <v>1525</v>
      </c>
      <c r="H45" s="4">
        <v>7.3</v>
      </c>
      <c r="I45" s="4">
        <v>3.34</v>
      </c>
      <c r="J45" s="4">
        <v>10.64</v>
      </c>
      <c r="K45" s="4">
        <v>48</v>
      </c>
      <c r="L45" s="4">
        <v>15</v>
      </c>
      <c r="M45" s="4">
        <v>174</v>
      </c>
      <c r="N45" s="4" t="s">
        <v>1370</v>
      </c>
      <c r="O45" s="4">
        <v>1.59</v>
      </c>
      <c r="P45" s="4">
        <v>44300</v>
      </c>
      <c r="Q45" s="4">
        <v>1.38</v>
      </c>
      <c r="R45" s="4">
        <v>6.1</v>
      </c>
      <c r="S45" s="4">
        <v>10</v>
      </c>
      <c r="T45" s="4">
        <v>1</v>
      </c>
      <c r="U45" s="4">
        <v>358</v>
      </c>
      <c r="V45" s="4">
        <v>0.4</v>
      </c>
      <c r="W45" s="4">
        <v>0.59</v>
      </c>
      <c r="X45" s="4">
        <v>1590</v>
      </c>
      <c r="Y45" s="4">
        <v>0.7</v>
      </c>
      <c r="AA45">
        <f t="shared" si="1"/>
        <v>1.5171704426648875</v>
      </c>
      <c r="AB45">
        <f t="shared" si="0"/>
        <v>15.076365371315188</v>
      </c>
      <c r="AC45">
        <f t="shared" si="2"/>
        <v>0.37106918238993708</v>
      </c>
      <c r="AD45" t="e">
        <f t="shared" si="3"/>
        <v>#VALUE!</v>
      </c>
      <c r="AI45" s="94">
        <f t="shared" si="6"/>
        <v>0.27500000000000002</v>
      </c>
    </row>
    <row r="46" spans="1:35">
      <c r="A46" s="4">
        <v>41</v>
      </c>
      <c r="B46" s="4" t="s">
        <v>1374</v>
      </c>
      <c r="C46" s="4">
        <v>20</v>
      </c>
      <c r="D46" s="4">
        <v>7.2</v>
      </c>
      <c r="E46" s="4">
        <v>6.3</v>
      </c>
      <c r="F46" s="9" t="s">
        <v>1469</v>
      </c>
      <c r="G46" s="9" t="s">
        <v>1526</v>
      </c>
      <c r="H46" s="4">
        <v>9.4</v>
      </c>
      <c r="I46" s="4">
        <v>7.7</v>
      </c>
      <c r="J46" s="4">
        <v>17.100000000000001</v>
      </c>
      <c r="K46" s="4">
        <v>42</v>
      </c>
      <c r="L46" s="4">
        <v>19</v>
      </c>
      <c r="M46" s="4">
        <v>183</v>
      </c>
      <c r="N46" s="4" t="s">
        <v>1371</v>
      </c>
      <c r="O46" s="4">
        <v>3.21</v>
      </c>
      <c r="P46" s="4">
        <v>46200</v>
      </c>
      <c r="Q46" s="4">
        <v>1.07</v>
      </c>
      <c r="R46" s="4">
        <v>4.9000000000000004</v>
      </c>
      <c r="S46" s="4">
        <v>16</v>
      </c>
      <c r="T46" s="4">
        <v>2.2999999999999998</v>
      </c>
      <c r="U46" s="4">
        <v>378</v>
      </c>
      <c r="V46" s="4">
        <v>0.9</v>
      </c>
      <c r="W46" s="4">
        <v>1.1599999999999999</v>
      </c>
      <c r="X46" s="4">
        <v>1400</v>
      </c>
      <c r="Y46" s="4">
        <v>0.8</v>
      </c>
      <c r="AA46">
        <f t="shared" si="1"/>
        <v>2.732362227452692</v>
      </c>
      <c r="AB46">
        <f t="shared" si="0"/>
        <v>12.728039276106315</v>
      </c>
      <c r="AC46">
        <f t="shared" si="2"/>
        <v>0.36137071651090341</v>
      </c>
      <c r="AD46" t="e">
        <f t="shared" si="3"/>
        <v>#VALUE!</v>
      </c>
      <c r="AI46" s="94">
        <f t="shared" si="6"/>
        <v>0.36</v>
      </c>
    </row>
    <row r="47" spans="1:35">
      <c r="A47" s="4">
        <v>42</v>
      </c>
      <c r="B47" s="4" t="s">
        <v>1374</v>
      </c>
      <c r="C47" s="4">
        <v>20</v>
      </c>
      <c r="D47" s="4">
        <v>8.1999999999999993</v>
      </c>
      <c r="E47" s="4">
        <v>6.2</v>
      </c>
      <c r="F47" s="4" t="s">
        <v>1469</v>
      </c>
      <c r="G47" s="4" t="s">
        <v>1524</v>
      </c>
      <c r="H47" s="4">
        <v>5.05</v>
      </c>
      <c r="I47" s="4">
        <v>9.9499999999999993</v>
      </c>
      <c r="J47" s="4">
        <v>15</v>
      </c>
      <c r="K47" s="4">
        <v>38</v>
      </c>
      <c r="L47" s="4">
        <v>25</v>
      </c>
      <c r="M47" s="4">
        <v>173</v>
      </c>
      <c r="N47" s="4" t="s">
        <v>1373</v>
      </c>
      <c r="O47" s="4">
        <v>3.78</v>
      </c>
      <c r="P47" s="4">
        <v>40800</v>
      </c>
      <c r="Q47" s="4">
        <v>1.38</v>
      </c>
      <c r="R47" s="4">
        <v>5.6</v>
      </c>
      <c r="S47" s="4">
        <v>21</v>
      </c>
      <c r="T47" s="4">
        <v>2.8</v>
      </c>
      <c r="U47" s="4">
        <v>350</v>
      </c>
      <c r="V47" s="4">
        <v>1</v>
      </c>
      <c r="W47" s="4">
        <v>1.47</v>
      </c>
      <c r="X47" s="4">
        <v>1350</v>
      </c>
      <c r="Y47" s="4">
        <v>0.7</v>
      </c>
      <c r="AA47">
        <f t="shared" si="1"/>
        <v>3.3467567916184309</v>
      </c>
      <c r="AB47">
        <f t="shared" si="0"/>
        <v>8.1409968061755507</v>
      </c>
      <c r="AC47">
        <f t="shared" si="2"/>
        <v>0.3888888888888889</v>
      </c>
      <c r="AD47" t="e">
        <f t="shared" si="3"/>
        <v>#VALUE!</v>
      </c>
      <c r="AI47" s="94">
        <f t="shared" si="6"/>
        <v>0.41</v>
      </c>
    </row>
    <row r="48" spans="1:35">
      <c r="A48" s="4">
        <v>43</v>
      </c>
      <c r="B48" s="4" t="s">
        <v>1374</v>
      </c>
      <c r="C48" s="4">
        <v>20</v>
      </c>
      <c r="D48" s="4">
        <v>9.8000000000000007</v>
      </c>
      <c r="E48" s="4">
        <v>7.2</v>
      </c>
      <c r="F48" s="4" t="s">
        <v>1519</v>
      </c>
      <c r="G48" s="4" t="s">
        <v>1525</v>
      </c>
      <c r="H48" s="4">
        <v>5.45</v>
      </c>
      <c r="I48" s="4">
        <v>20.170000000000002</v>
      </c>
      <c r="J48" s="4">
        <v>25.62</v>
      </c>
      <c r="K48" s="4">
        <v>43</v>
      </c>
      <c r="L48" s="4">
        <v>34</v>
      </c>
      <c r="M48" s="4">
        <v>162</v>
      </c>
      <c r="N48" s="4" t="s">
        <v>1373</v>
      </c>
      <c r="O48" s="4">
        <v>8.76</v>
      </c>
      <c r="P48" s="4">
        <v>41000</v>
      </c>
      <c r="Q48" s="4">
        <v>1.46</v>
      </c>
      <c r="R48" s="4">
        <v>6</v>
      </c>
      <c r="S48" s="4">
        <v>53</v>
      </c>
      <c r="T48" s="4">
        <v>4.2</v>
      </c>
      <c r="U48" s="4">
        <v>382</v>
      </c>
      <c r="V48" s="4">
        <v>1.6</v>
      </c>
      <c r="W48" s="4">
        <v>3.42</v>
      </c>
      <c r="X48" s="4">
        <v>2090</v>
      </c>
      <c r="Y48" s="4">
        <v>0.5</v>
      </c>
      <c r="AA48">
        <f t="shared" si="1"/>
        <v>6.7447970697932016</v>
      </c>
      <c r="AB48">
        <f t="shared" si="0"/>
        <v>0.20720970766885555</v>
      </c>
      <c r="AC48">
        <f t="shared" si="2"/>
        <v>0.3904109589041096</v>
      </c>
      <c r="AD48" t="e">
        <f t="shared" si="3"/>
        <v>#VALUE!</v>
      </c>
      <c r="AI48" s="94">
        <f t="shared" si="6"/>
        <v>0.49000000000000005</v>
      </c>
    </row>
    <row r="49" spans="1:35">
      <c r="A49" s="4">
        <v>44</v>
      </c>
      <c r="B49" s="4" t="s">
        <v>1375</v>
      </c>
      <c r="C49" s="4">
        <v>20</v>
      </c>
      <c r="D49" s="4">
        <v>7.3</v>
      </c>
      <c r="E49" s="4">
        <v>5.9</v>
      </c>
      <c r="F49" s="4" t="s">
        <v>1518</v>
      </c>
      <c r="G49" s="4" t="s">
        <v>1526</v>
      </c>
      <c r="H49" s="4">
        <v>7.15</v>
      </c>
      <c r="I49" s="4">
        <v>5.18</v>
      </c>
      <c r="J49" s="4">
        <v>12.33</v>
      </c>
      <c r="K49" s="4">
        <v>51</v>
      </c>
      <c r="L49" s="4">
        <v>21</v>
      </c>
      <c r="M49" s="4">
        <v>176</v>
      </c>
      <c r="N49" s="4">
        <v>166</v>
      </c>
      <c r="O49" s="4">
        <v>2.63</v>
      </c>
      <c r="P49" s="4">
        <v>38300</v>
      </c>
      <c r="Q49" s="4">
        <v>1.49</v>
      </c>
      <c r="R49" s="4">
        <v>5.7</v>
      </c>
      <c r="S49" s="4">
        <v>15</v>
      </c>
      <c r="T49" s="4">
        <v>1.5</v>
      </c>
      <c r="U49" s="4">
        <v>352</v>
      </c>
      <c r="V49" s="4">
        <v>0.5</v>
      </c>
      <c r="W49" s="4">
        <v>0.99</v>
      </c>
      <c r="X49" s="4">
        <v>1770</v>
      </c>
      <c r="Y49" s="4">
        <v>0.5</v>
      </c>
      <c r="AA49">
        <f t="shared" si="1"/>
        <v>2.3830259888594796</v>
      </c>
      <c r="AB49">
        <f t="shared" si="0"/>
        <v>12.369106195037844</v>
      </c>
      <c r="AC49">
        <f t="shared" si="2"/>
        <v>0.37642585551330798</v>
      </c>
      <c r="AD49">
        <f t="shared" si="3"/>
        <v>3.4000000000000696E-3</v>
      </c>
      <c r="AI49" s="94">
        <f t="shared" si="6"/>
        <v>0.36499999999999999</v>
      </c>
    </row>
    <row r="50" spans="1:35">
      <c r="A50" s="4">
        <v>45</v>
      </c>
      <c r="B50" s="4" t="s">
        <v>1376</v>
      </c>
      <c r="C50" s="4">
        <v>20</v>
      </c>
      <c r="D50" s="4">
        <v>9.1</v>
      </c>
      <c r="E50" s="4">
        <v>7.6</v>
      </c>
      <c r="F50" s="4" t="s">
        <v>1469</v>
      </c>
      <c r="G50" s="4" t="s">
        <v>1529</v>
      </c>
      <c r="H50" s="4">
        <v>6.95</v>
      </c>
      <c r="I50" s="4">
        <v>12.76</v>
      </c>
      <c r="J50" s="4">
        <v>19.71</v>
      </c>
      <c r="K50" s="4">
        <v>38</v>
      </c>
      <c r="L50" s="4">
        <v>25</v>
      </c>
      <c r="M50" s="4">
        <v>184</v>
      </c>
      <c r="N50" s="4">
        <v>161</v>
      </c>
      <c r="O50" s="4">
        <v>4.8899999999999997</v>
      </c>
      <c r="P50" s="4">
        <v>30900</v>
      </c>
      <c r="Q50" s="4">
        <v>1.84</v>
      </c>
      <c r="R50" s="4">
        <v>5.7</v>
      </c>
      <c r="S50" s="4">
        <v>28</v>
      </c>
      <c r="T50" s="4">
        <v>3.5</v>
      </c>
      <c r="U50" s="4">
        <v>324</v>
      </c>
      <c r="V50" s="4">
        <v>1.1000000000000001</v>
      </c>
      <c r="W50" s="4">
        <v>1.8</v>
      </c>
      <c r="X50" s="4">
        <v>1400</v>
      </c>
      <c r="Y50" s="4">
        <v>0.6</v>
      </c>
      <c r="AA50">
        <f t="shared" si="1"/>
        <v>3.9733679043303689</v>
      </c>
      <c r="AB50">
        <f t="shared" si="0"/>
        <v>13.152460357341099</v>
      </c>
      <c r="AC50">
        <f t="shared" si="2"/>
        <v>0.36809815950920249</v>
      </c>
      <c r="AD50">
        <f t="shared" si="3"/>
        <v>-0.19199999999999928</v>
      </c>
      <c r="AI50" s="94">
        <f t="shared" si="6"/>
        <v>0.45499999999999996</v>
      </c>
    </row>
    <row r="51" spans="1:35">
      <c r="A51" s="4">
        <v>46</v>
      </c>
      <c r="B51" s="4" t="s">
        <v>1360</v>
      </c>
      <c r="C51" s="4">
        <v>20</v>
      </c>
      <c r="D51" s="4">
        <v>9.8000000000000007</v>
      </c>
      <c r="E51" s="4">
        <v>7</v>
      </c>
      <c r="F51" s="4" t="s">
        <v>1469</v>
      </c>
      <c r="G51" s="4" t="s">
        <v>1528</v>
      </c>
      <c r="H51" s="4">
        <v>5.95</v>
      </c>
      <c r="I51" s="4">
        <v>13.38</v>
      </c>
      <c r="J51" s="4">
        <v>19.329999999999998</v>
      </c>
      <c r="K51" s="4">
        <v>41</v>
      </c>
      <c r="L51" s="4">
        <v>28</v>
      </c>
      <c r="M51" s="4">
        <v>175</v>
      </c>
      <c r="N51" s="4">
        <v>159</v>
      </c>
      <c r="O51" s="4">
        <v>5.44</v>
      </c>
      <c r="P51" s="4">
        <v>41900</v>
      </c>
      <c r="Q51" s="4">
        <v>1.49</v>
      </c>
      <c r="R51" s="4">
        <v>6.2</v>
      </c>
      <c r="S51" s="4">
        <v>34</v>
      </c>
      <c r="T51" s="4">
        <v>3.2</v>
      </c>
      <c r="U51" s="4">
        <v>361</v>
      </c>
      <c r="V51" s="4">
        <v>1.2</v>
      </c>
      <c r="W51" s="4">
        <v>2.1</v>
      </c>
      <c r="X51" s="4">
        <v>1700</v>
      </c>
      <c r="Y51" s="4">
        <v>0.6</v>
      </c>
      <c r="AA51">
        <f t="shared" si="1"/>
        <v>4.5219036868482112</v>
      </c>
      <c r="AB51">
        <f t="shared" si="0"/>
        <v>6.1409613372564884</v>
      </c>
      <c r="AC51">
        <f t="shared" si="2"/>
        <v>0.3860294117647059</v>
      </c>
      <c r="AD51">
        <f t="shared" si="3"/>
        <v>-1.000000000000334E-3</v>
      </c>
      <c r="AI51" s="94">
        <f t="shared" si="6"/>
        <v>0.49000000000000005</v>
      </c>
    </row>
    <row r="52" spans="1:35">
      <c r="A52" s="4">
        <v>47</v>
      </c>
      <c r="B52" s="4" t="s">
        <v>1360</v>
      </c>
      <c r="C52" s="4">
        <v>20</v>
      </c>
      <c r="D52" s="4">
        <v>14.6</v>
      </c>
      <c r="E52" s="4">
        <v>8.5</v>
      </c>
      <c r="F52" s="4" t="s">
        <v>1519</v>
      </c>
      <c r="G52" s="4" t="s">
        <v>1526</v>
      </c>
      <c r="H52" s="4">
        <v>4.0999999999999996</v>
      </c>
      <c r="I52" s="4">
        <v>57.2</v>
      </c>
      <c r="J52" s="4">
        <v>61.3</v>
      </c>
      <c r="K52" s="4">
        <v>35</v>
      </c>
      <c r="L52" s="4">
        <v>32</v>
      </c>
      <c r="M52" s="4">
        <v>163</v>
      </c>
      <c r="N52" s="4">
        <v>157</v>
      </c>
      <c r="O52" s="4">
        <v>19.88</v>
      </c>
      <c r="P52" s="4">
        <v>23000</v>
      </c>
      <c r="Q52" s="4">
        <v>2.13</v>
      </c>
      <c r="R52" s="4">
        <v>4.9000000000000004</v>
      </c>
      <c r="S52" s="4">
        <v>98</v>
      </c>
      <c r="T52" s="4">
        <v>9.6</v>
      </c>
      <c r="U52" s="4">
        <v>337</v>
      </c>
      <c r="V52" s="4">
        <v>3.2</v>
      </c>
      <c r="W52" s="4">
        <v>7.73</v>
      </c>
      <c r="X52" s="4">
        <v>2070</v>
      </c>
      <c r="Y52" s="4">
        <v>0.4</v>
      </c>
      <c r="AA52">
        <f t="shared" si="1"/>
        <v>12.580357952726485</v>
      </c>
      <c r="AB52">
        <f t="shared" si="0"/>
        <v>16.649321022378277</v>
      </c>
      <c r="AC52">
        <f t="shared" si="2"/>
        <v>0.38883299798792759</v>
      </c>
      <c r="AD52">
        <f t="shared" si="3"/>
        <v>-1.3899999999996027E-2</v>
      </c>
      <c r="AI52" s="94">
        <f t="shared" si="6"/>
        <v>0.73</v>
      </c>
    </row>
    <row r="53" spans="1:35">
      <c r="A53" s="4">
        <v>48</v>
      </c>
      <c r="B53" s="4" t="s">
        <v>1359</v>
      </c>
      <c r="C53" s="4">
        <v>20</v>
      </c>
      <c r="D53" s="4">
        <v>8.6999999999999993</v>
      </c>
      <c r="E53" s="4">
        <v>6.8</v>
      </c>
      <c r="F53" s="4" t="s">
        <v>1518</v>
      </c>
      <c r="G53" s="4" t="s">
        <v>1525</v>
      </c>
      <c r="H53" s="4">
        <v>6.45</v>
      </c>
      <c r="I53" s="4">
        <v>12.73</v>
      </c>
      <c r="J53" s="4">
        <v>19.18</v>
      </c>
      <c r="K53" s="4">
        <v>45</v>
      </c>
      <c r="L53" s="4">
        <v>30</v>
      </c>
      <c r="M53" s="4">
        <v>190</v>
      </c>
      <c r="N53" s="4">
        <v>171</v>
      </c>
      <c r="O53" s="4">
        <v>5.77</v>
      </c>
      <c r="P53" s="4">
        <v>29700</v>
      </c>
      <c r="Q53" s="4">
        <v>1.58</v>
      </c>
      <c r="R53" s="4">
        <v>4.7</v>
      </c>
      <c r="S53" s="4">
        <v>27</v>
      </c>
      <c r="T53" s="4">
        <v>2.8</v>
      </c>
      <c r="U53" s="4">
        <v>358</v>
      </c>
      <c r="V53" s="4">
        <v>1</v>
      </c>
      <c r="W53" s="4">
        <v>2.13</v>
      </c>
      <c r="X53" s="4">
        <v>2060</v>
      </c>
      <c r="Y53" s="4">
        <v>0.5</v>
      </c>
      <c r="AA53">
        <f t="shared" si="1"/>
        <v>4.5757477083855669</v>
      </c>
      <c r="AB53">
        <f t="shared" si="0"/>
        <v>4.947298256752056</v>
      </c>
      <c r="AC53">
        <f t="shared" si="2"/>
        <v>0.36915077989601386</v>
      </c>
      <c r="AD53">
        <f t="shared" si="3"/>
        <v>2.2999999999999687E-3</v>
      </c>
      <c r="AI53" s="94">
        <f t="shared" si="6"/>
        <v>0.43499999999999994</v>
      </c>
    </row>
    <row r="54" spans="1:35">
      <c r="A54" s="4">
        <v>49</v>
      </c>
      <c r="B54" s="4" t="s">
        <v>1360</v>
      </c>
      <c r="C54" s="4">
        <v>20</v>
      </c>
      <c r="D54" s="4">
        <v>8.8000000000000007</v>
      </c>
      <c r="E54" s="4">
        <v>7.4</v>
      </c>
      <c r="F54" s="4" t="s">
        <v>1469</v>
      </c>
      <c r="G54" s="4" t="s">
        <v>1529</v>
      </c>
      <c r="H54" s="4">
        <v>7.6</v>
      </c>
      <c r="I54" s="4">
        <v>14.32</v>
      </c>
      <c r="J54" s="4">
        <v>21.92</v>
      </c>
      <c r="K54" s="4">
        <v>43</v>
      </c>
      <c r="L54" s="4">
        <v>28</v>
      </c>
      <c r="M54" s="4">
        <v>185</v>
      </c>
      <c r="N54" s="4">
        <v>165</v>
      </c>
      <c r="O54" s="4">
        <v>6.2</v>
      </c>
      <c r="P54" s="4">
        <v>31800</v>
      </c>
      <c r="Q54" s="4">
        <v>1.53</v>
      </c>
      <c r="R54" s="4">
        <v>4.9000000000000004</v>
      </c>
      <c r="S54" s="4">
        <v>30</v>
      </c>
      <c r="T54" s="4">
        <v>3.5</v>
      </c>
      <c r="U54" s="4">
        <v>369</v>
      </c>
      <c r="V54" s="4">
        <v>1.3</v>
      </c>
      <c r="W54" s="4">
        <v>2.34</v>
      </c>
      <c r="X54" s="4">
        <v>1770</v>
      </c>
      <c r="Y54" s="4">
        <v>0.6</v>
      </c>
      <c r="AA54">
        <f t="shared" si="1"/>
        <v>4.9478425555336605</v>
      </c>
      <c r="AB54">
        <f t="shared" si="0"/>
        <v>6.0130761324516904</v>
      </c>
      <c r="AC54">
        <f t="shared" si="2"/>
        <v>0.37741935483870964</v>
      </c>
      <c r="AD54">
        <f t="shared" si="3"/>
        <v>9.9999999999944578E-4</v>
      </c>
      <c r="AI54" s="94">
        <f t="shared" si="6"/>
        <v>0.44000000000000006</v>
      </c>
    </row>
    <row r="55" spans="1:35">
      <c r="A55" s="4">
        <v>50</v>
      </c>
      <c r="B55" s="4" t="s">
        <v>1360</v>
      </c>
      <c r="C55" s="4">
        <v>20</v>
      </c>
      <c r="D55" s="4">
        <v>9.4</v>
      </c>
      <c r="E55" s="4">
        <v>7.5</v>
      </c>
      <c r="F55" s="4" t="s">
        <v>1469</v>
      </c>
      <c r="G55" s="4" t="s">
        <v>1529</v>
      </c>
      <c r="H55" s="4">
        <v>7.6</v>
      </c>
      <c r="I55" s="4">
        <v>12.26</v>
      </c>
      <c r="J55" s="4">
        <v>19.86</v>
      </c>
      <c r="K55" s="4">
        <v>48</v>
      </c>
      <c r="L55" s="4">
        <v>30</v>
      </c>
      <c r="M55" s="4">
        <v>175</v>
      </c>
      <c r="N55" s="4">
        <v>169</v>
      </c>
      <c r="O55" s="4">
        <v>5.92</v>
      </c>
      <c r="P55" s="4">
        <v>35300</v>
      </c>
      <c r="Q55" s="4">
        <v>1.47</v>
      </c>
      <c r="R55" s="4">
        <v>5.2</v>
      </c>
      <c r="S55" s="4">
        <v>31</v>
      </c>
      <c r="T55" s="4">
        <v>3.1</v>
      </c>
      <c r="U55" s="4">
        <v>370</v>
      </c>
      <c r="V55" s="4">
        <v>1.1000000000000001</v>
      </c>
      <c r="W55" s="4">
        <v>2.2000000000000002</v>
      </c>
      <c r="X55" s="4">
        <v>1910</v>
      </c>
      <c r="Y55" s="4">
        <v>0.5</v>
      </c>
      <c r="AA55">
        <f t="shared" si="1"/>
        <v>4.7007044799259941</v>
      </c>
      <c r="AB55">
        <f t="shared" si="0"/>
        <v>7.8360554087063994</v>
      </c>
      <c r="AC55">
        <f t="shared" si="2"/>
        <v>0.37162162162162166</v>
      </c>
      <c r="AD55">
        <f t="shared" si="3"/>
        <v>-1.9999999999997797E-3</v>
      </c>
      <c r="AI55" s="94">
        <f t="shared" si="6"/>
        <v>0.47000000000000003</v>
      </c>
    </row>
    <row r="56" spans="1:35">
      <c r="A56" s="4">
        <v>51</v>
      </c>
      <c r="B56" s="4" t="s">
        <v>1360</v>
      </c>
      <c r="C56" s="4">
        <v>20</v>
      </c>
      <c r="D56" s="4">
        <v>10.6</v>
      </c>
      <c r="E56" s="4">
        <v>7.7</v>
      </c>
      <c r="F56" s="4" t="s">
        <v>1519</v>
      </c>
      <c r="G56" s="4" t="s">
        <v>1526</v>
      </c>
      <c r="H56" s="4">
        <v>5.75</v>
      </c>
      <c r="I56" s="4">
        <v>17.010000000000002</v>
      </c>
      <c r="J56" s="4">
        <v>22.76</v>
      </c>
      <c r="K56" s="4">
        <v>44</v>
      </c>
      <c r="L56" s="4">
        <v>33</v>
      </c>
      <c r="M56" s="4">
        <v>168</v>
      </c>
      <c r="N56" s="4">
        <v>158</v>
      </c>
      <c r="O56" s="4">
        <v>7.52</v>
      </c>
      <c r="P56" s="4">
        <v>28200</v>
      </c>
      <c r="Q56" s="4">
        <v>1.87</v>
      </c>
      <c r="R56" s="4">
        <v>5.3</v>
      </c>
      <c r="S56" s="4">
        <v>40</v>
      </c>
      <c r="T56" s="4">
        <v>5.3</v>
      </c>
      <c r="U56" s="4">
        <v>382</v>
      </c>
      <c r="V56" s="4">
        <v>2</v>
      </c>
      <c r="W56" s="4">
        <v>2.92</v>
      </c>
      <c r="X56" s="4">
        <v>1420</v>
      </c>
      <c r="Y56" s="4">
        <v>0.7</v>
      </c>
      <c r="AA56">
        <f t="shared" si="1"/>
        <v>5.9353911637010341</v>
      </c>
      <c r="AB56">
        <f t="shared" si="0"/>
        <v>3.1138443451443911</v>
      </c>
      <c r="AC56">
        <f t="shared" si="2"/>
        <v>0.38829787234042556</v>
      </c>
      <c r="AD56">
        <f t="shared" si="3"/>
        <v>1.3600000000000279E-2</v>
      </c>
      <c r="AI56" s="94">
        <f t="shared" si="6"/>
        <v>0.53</v>
      </c>
    </row>
    <row r="57" spans="1:35">
      <c r="A57" s="4">
        <v>52</v>
      </c>
      <c r="B57" s="6" t="s">
        <v>1377</v>
      </c>
      <c r="C57" s="4">
        <v>21</v>
      </c>
      <c r="D57" s="4">
        <v>5.0999999999999996</v>
      </c>
      <c r="E57" s="4">
        <v>5.8</v>
      </c>
      <c r="F57" s="4" t="s">
        <v>1518</v>
      </c>
      <c r="G57" s="4" t="s">
        <v>1524</v>
      </c>
      <c r="H57" s="4">
        <v>7.35</v>
      </c>
      <c r="I57" s="4">
        <v>2.7</v>
      </c>
      <c r="J57" s="4">
        <v>10.050000000000001</v>
      </c>
      <c r="K57" s="4">
        <v>44</v>
      </c>
      <c r="L57" s="4">
        <v>12</v>
      </c>
      <c r="M57" s="4">
        <v>162</v>
      </c>
      <c r="N57" s="4">
        <v>167</v>
      </c>
      <c r="O57" s="4">
        <v>1.2</v>
      </c>
      <c r="P57" s="4">
        <v>34500</v>
      </c>
      <c r="Q57" s="4">
        <v>1.51</v>
      </c>
      <c r="R57" s="4">
        <v>5.2</v>
      </c>
      <c r="S57" s="4">
        <v>6</v>
      </c>
      <c r="T57" s="4">
        <v>0.7</v>
      </c>
      <c r="U57" s="4">
        <v>386</v>
      </c>
      <c r="V57" s="4">
        <v>0.3</v>
      </c>
      <c r="W57" s="4">
        <v>0.45</v>
      </c>
      <c r="X57" s="4">
        <v>1710</v>
      </c>
      <c r="Y57" s="4">
        <v>0.7</v>
      </c>
      <c r="AA57">
        <f t="shared" si="1"/>
        <v>1.1952138999070512</v>
      </c>
      <c r="AB57">
        <f t="shared" si="0"/>
        <v>21.204055027609229</v>
      </c>
      <c r="AC57">
        <f t="shared" si="2"/>
        <v>0.375</v>
      </c>
      <c r="AD57">
        <f t="shared" si="3"/>
        <v>1.5000000000000568E-3</v>
      </c>
      <c r="AI57" s="94">
        <f t="shared" si="6"/>
        <v>0.24285714285714283</v>
      </c>
    </row>
    <row r="58" spans="1:35">
      <c r="A58" s="4">
        <v>53</v>
      </c>
      <c r="B58" s="4" t="s">
        <v>1378</v>
      </c>
      <c r="C58" s="4">
        <v>21</v>
      </c>
      <c r="D58" s="4">
        <v>5.2</v>
      </c>
      <c r="E58" s="4">
        <v>7</v>
      </c>
      <c r="F58" s="4" t="s">
        <v>1518</v>
      </c>
      <c r="G58" s="4" t="s">
        <v>1524</v>
      </c>
      <c r="H58" s="4">
        <v>8.5</v>
      </c>
      <c r="I58" s="4">
        <v>2.46</v>
      </c>
      <c r="J58" s="4">
        <v>10.96</v>
      </c>
      <c r="K58" s="4">
        <v>46</v>
      </c>
      <c r="L58" s="4">
        <v>10</v>
      </c>
      <c r="M58" s="4">
        <v>155</v>
      </c>
      <c r="N58" s="4">
        <v>185</v>
      </c>
      <c r="O58" s="4">
        <v>1.1399999999999999</v>
      </c>
      <c r="P58" s="4">
        <v>37800</v>
      </c>
      <c r="Q58" s="4">
        <v>1.2</v>
      </c>
      <c r="R58" s="4">
        <v>4.5</v>
      </c>
      <c r="S58" s="4">
        <v>5</v>
      </c>
      <c r="T58" s="4">
        <v>0.6</v>
      </c>
      <c r="U58" s="4">
        <v>380</v>
      </c>
      <c r="V58" s="4">
        <v>0.2</v>
      </c>
      <c r="W58" s="4">
        <v>0.4</v>
      </c>
      <c r="X58" s="4">
        <v>1900</v>
      </c>
      <c r="Y58" s="4">
        <v>0.5</v>
      </c>
      <c r="AA58">
        <f t="shared" si="1"/>
        <v>1.0770714218227995</v>
      </c>
      <c r="AB58">
        <f t="shared" si="0"/>
        <v>35.081082942188196</v>
      </c>
      <c r="AC58">
        <f t="shared" si="2"/>
        <v>0.35087719298245618</v>
      </c>
      <c r="AD58">
        <f t="shared" si="3"/>
        <v>0</v>
      </c>
      <c r="AI58" s="94">
        <f t="shared" si="6"/>
        <v>0.24761904761904763</v>
      </c>
    </row>
    <row r="59" spans="1:35">
      <c r="A59" s="4">
        <v>54</v>
      </c>
      <c r="B59" s="4" t="s">
        <v>1379</v>
      </c>
      <c r="C59" s="4">
        <v>21</v>
      </c>
      <c r="D59" s="4">
        <v>5.2</v>
      </c>
      <c r="E59" s="4">
        <v>6.6</v>
      </c>
      <c r="F59" s="4" t="s">
        <v>1469</v>
      </c>
      <c r="G59" s="4" t="s">
        <v>1529</v>
      </c>
      <c r="H59" s="4">
        <v>10.6</v>
      </c>
      <c r="I59" s="4">
        <v>3.6</v>
      </c>
      <c r="J59" s="4">
        <v>14.2</v>
      </c>
      <c r="K59" s="4">
        <v>55</v>
      </c>
      <c r="L59" s="4">
        <v>14</v>
      </c>
      <c r="M59" s="4">
        <v>164</v>
      </c>
      <c r="N59" s="4">
        <v>177</v>
      </c>
      <c r="O59" s="4">
        <v>1.97</v>
      </c>
      <c r="P59" s="4">
        <v>28800</v>
      </c>
      <c r="Q59" s="4">
        <v>1.87</v>
      </c>
      <c r="R59" s="4">
        <v>5.4</v>
      </c>
      <c r="S59" s="4">
        <v>11</v>
      </c>
      <c r="T59" s="4">
        <v>1.3</v>
      </c>
      <c r="U59" s="4">
        <v>390</v>
      </c>
      <c r="V59" s="4">
        <v>0.5</v>
      </c>
      <c r="W59" s="4">
        <v>0.71</v>
      </c>
      <c r="X59" s="4">
        <v>1520</v>
      </c>
      <c r="Y59" s="4">
        <v>0.7</v>
      </c>
      <c r="AA59">
        <f t="shared" si="1"/>
        <v>1.784402321966351</v>
      </c>
      <c r="AB59">
        <f t="shared" si="0"/>
        <v>23.189980996683072</v>
      </c>
      <c r="AC59">
        <f t="shared" si="2"/>
        <v>0.36040609137055835</v>
      </c>
      <c r="AD59">
        <f t="shared" si="3"/>
        <v>-3.3000000000000806E-3</v>
      </c>
      <c r="AI59" s="94">
        <f t="shared" si="6"/>
        <v>0.24761904761904763</v>
      </c>
    </row>
    <row r="60" spans="1:35">
      <c r="A60" s="4">
        <v>55</v>
      </c>
      <c r="B60" s="4" t="s">
        <v>1360</v>
      </c>
      <c r="C60" s="4">
        <v>21</v>
      </c>
      <c r="D60" s="4">
        <v>5.9</v>
      </c>
      <c r="E60" s="4">
        <v>7.2</v>
      </c>
      <c r="F60" s="4" t="s">
        <v>1518</v>
      </c>
      <c r="G60" s="4" t="s">
        <v>1527</v>
      </c>
      <c r="H60" s="4">
        <v>11.3</v>
      </c>
      <c r="I60" s="4">
        <v>4.5</v>
      </c>
      <c r="J60" s="4">
        <v>15.8</v>
      </c>
      <c r="K60" s="4">
        <v>56</v>
      </c>
      <c r="L60" s="4">
        <v>16</v>
      </c>
      <c r="M60" s="4">
        <v>179</v>
      </c>
      <c r="N60" s="4">
        <v>169</v>
      </c>
      <c r="O60" s="4">
        <v>2.5</v>
      </c>
      <c r="P60" s="4">
        <v>24600</v>
      </c>
      <c r="Q60" s="4">
        <v>2.1800000000000002</v>
      </c>
      <c r="R60" s="4">
        <v>5.4</v>
      </c>
      <c r="S60" s="4">
        <v>13</v>
      </c>
      <c r="T60" s="4">
        <v>1.1000000000000001</v>
      </c>
      <c r="U60" s="4">
        <v>367</v>
      </c>
      <c r="V60" s="4">
        <v>0.4</v>
      </c>
      <c r="W60" s="4">
        <v>0.93</v>
      </c>
      <c r="X60" s="4">
        <v>2270</v>
      </c>
      <c r="Y60" s="4">
        <v>0.4</v>
      </c>
      <c r="AA60">
        <f t="shared" si="1"/>
        <v>2.2573490554542888</v>
      </c>
      <c r="AB60">
        <f t="shared" si="0"/>
        <v>24.429798359618612</v>
      </c>
      <c r="AC60">
        <f t="shared" si="2"/>
        <v>0.372</v>
      </c>
      <c r="AD60">
        <f t="shared" si="3"/>
        <v>1.7000000000000348E-3</v>
      </c>
      <c r="AI60" s="94">
        <f t="shared" si="6"/>
        <v>0.28095238095238095</v>
      </c>
    </row>
    <row r="61" spans="1:35">
      <c r="A61" s="4">
        <v>56</v>
      </c>
      <c r="B61" s="4" t="s">
        <v>1360</v>
      </c>
      <c r="C61" s="4">
        <v>21</v>
      </c>
      <c r="D61" s="4">
        <v>6.8</v>
      </c>
      <c r="E61" s="4">
        <v>7</v>
      </c>
      <c r="F61" s="4" t="s">
        <v>1469</v>
      </c>
      <c r="G61" s="4" t="s">
        <v>1526</v>
      </c>
      <c r="H61" s="4">
        <v>10.9</v>
      </c>
      <c r="I61" s="4">
        <v>6.43</v>
      </c>
      <c r="J61" s="4">
        <v>17.329999999999998</v>
      </c>
      <c r="K61" s="4">
        <v>44</v>
      </c>
      <c r="L61" s="4">
        <v>17</v>
      </c>
      <c r="M61" s="4">
        <v>163</v>
      </c>
      <c r="N61" s="4">
        <v>171</v>
      </c>
      <c r="O61" s="4">
        <v>3.03</v>
      </c>
      <c r="P61" s="4">
        <v>36300</v>
      </c>
      <c r="Q61" s="4">
        <v>1.53</v>
      </c>
      <c r="R61" s="4">
        <v>5.6</v>
      </c>
      <c r="S61" s="4">
        <v>17</v>
      </c>
      <c r="T61" s="4">
        <v>1.6</v>
      </c>
      <c r="U61" s="4">
        <v>380</v>
      </c>
      <c r="V61" s="4">
        <v>0.6</v>
      </c>
      <c r="W61" s="4">
        <v>1.1200000000000001</v>
      </c>
      <c r="X61" s="4">
        <v>1890</v>
      </c>
      <c r="Y61" s="4">
        <v>0.5</v>
      </c>
      <c r="AA61">
        <f t="shared" si="1"/>
        <v>2.65101977040892</v>
      </c>
      <c r="AB61">
        <f t="shared" si="0"/>
        <v>18.913629037374079</v>
      </c>
      <c r="AC61">
        <f t="shared" si="2"/>
        <v>0.36963696369636967</v>
      </c>
      <c r="AD61">
        <f t="shared" si="3"/>
        <v>5.2000000000003155E-3</v>
      </c>
      <c r="AI61" s="94">
        <f t="shared" si="6"/>
        <v>0.32380952380952382</v>
      </c>
    </row>
    <row r="62" spans="1:35">
      <c r="A62" s="4">
        <v>57</v>
      </c>
      <c r="B62" s="4" t="s">
        <v>1342</v>
      </c>
      <c r="C62" s="4">
        <v>21</v>
      </c>
      <c r="D62" s="4">
        <v>8</v>
      </c>
      <c r="E62" s="4">
        <v>8.5</v>
      </c>
      <c r="F62" s="4" t="s">
        <v>1518</v>
      </c>
      <c r="G62" s="4" t="s">
        <v>1527</v>
      </c>
      <c r="H62" s="4">
        <v>9.5</v>
      </c>
      <c r="I62" s="4">
        <v>8.8000000000000007</v>
      </c>
      <c r="J62" s="4">
        <v>18.3</v>
      </c>
      <c r="K62" s="4">
        <v>50</v>
      </c>
      <c r="L62" s="4">
        <v>24</v>
      </c>
      <c r="M62" s="4">
        <v>182</v>
      </c>
      <c r="N62" s="4">
        <v>178</v>
      </c>
      <c r="O62" s="4">
        <v>4.3600000000000003</v>
      </c>
      <c r="P62" s="4">
        <v>21600</v>
      </c>
      <c r="Q62" s="4">
        <v>2.5099999999999998</v>
      </c>
      <c r="R62" s="4">
        <v>5.4</v>
      </c>
      <c r="S62" s="4">
        <v>24</v>
      </c>
      <c r="T62" s="4">
        <v>2.2999999999999998</v>
      </c>
      <c r="U62" s="4">
        <v>348</v>
      </c>
      <c r="V62" s="4">
        <v>0.8</v>
      </c>
      <c r="W62" s="4">
        <v>1.57</v>
      </c>
      <c r="X62" s="4">
        <v>1900</v>
      </c>
      <c r="Y62" s="4">
        <v>0.5</v>
      </c>
      <c r="AA62">
        <f t="shared" si="1"/>
        <v>3.5394148100672091</v>
      </c>
      <c r="AB62">
        <f t="shared" si="0"/>
        <v>24.607405426580549</v>
      </c>
      <c r="AC62">
        <f t="shared" si="2"/>
        <v>0.36009174311926606</v>
      </c>
      <c r="AD62">
        <f t="shared" si="3"/>
        <v>4.5999999999999375E-3</v>
      </c>
      <c r="AI62" s="94">
        <f t="shared" si="6"/>
        <v>0.38095238095238093</v>
      </c>
    </row>
    <row r="63" spans="1:35">
      <c r="A63" s="4">
        <v>58</v>
      </c>
      <c r="B63" s="4" t="s">
        <v>1380</v>
      </c>
      <c r="C63" s="4">
        <v>21</v>
      </c>
      <c r="D63" s="4">
        <v>8.4</v>
      </c>
      <c r="E63" s="4">
        <v>7.9</v>
      </c>
      <c r="F63" s="4" t="s">
        <v>1518</v>
      </c>
      <c r="G63" s="4" t="s">
        <v>1527</v>
      </c>
      <c r="H63" s="4">
        <v>8.9</v>
      </c>
      <c r="I63" s="4">
        <v>8.5</v>
      </c>
      <c r="J63" s="4">
        <v>17.399999999999999</v>
      </c>
      <c r="K63" s="4">
        <v>45</v>
      </c>
      <c r="L63" s="4">
        <v>22</v>
      </c>
      <c r="M63" s="4">
        <v>197</v>
      </c>
      <c r="N63" s="4">
        <v>185</v>
      </c>
      <c r="O63" s="4">
        <v>3.82</v>
      </c>
      <c r="P63" s="4">
        <v>36000</v>
      </c>
      <c r="Q63" s="4">
        <v>1.31</v>
      </c>
      <c r="R63" s="4">
        <v>4.7</v>
      </c>
      <c r="S63" s="4">
        <v>18</v>
      </c>
      <c r="T63" s="4">
        <v>1.9</v>
      </c>
      <c r="U63" s="4">
        <v>318</v>
      </c>
      <c r="V63" s="4">
        <v>0.6</v>
      </c>
      <c r="W63" s="4">
        <v>1.34</v>
      </c>
      <c r="X63" s="4">
        <v>2010</v>
      </c>
      <c r="Y63" s="4">
        <v>0.4</v>
      </c>
      <c r="AA63">
        <f t="shared" si="1"/>
        <v>3.0924044195164342</v>
      </c>
      <c r="AB63">
        <f t="shared" si="0"/>
        <v>23.112975265485119</v>
      </c>
      <c r="AC63">
        <f t="shared" si="2"/>
        <v>0.35078534031413616</v>
      </c>
      <c r="AD63">
        <f t="shared" si="3"/>
        <v>-9.9999999999944578E-4</v>
      </c>
      <c r="AI63" s="94">
        <f t="shared" si="6"/>
        <v>0.4</v>
      </c>
    </row>
    <row r="64" spans="1:35">
      <c r="A64" s="4">
        <v>59</v>
      </c>
      <c r="B64" s="4" t="s">
        <v>1381</v>
      </c>
      <c r="C64" s="4">
        <v>21</v>
      </c>
      <c r="D64" s="4">
        <v>6.3</v>
      </c>
      <c r="E64" s="4">
        <v>7.8</v>
      </c>
      <c r="F64" s="4" t="s">
        <v>1518</v>
      </c>
      <c r="G64" s="4" t="s">
        <v>1527</v>
      </c>
      <c r="H64" s="4">
        <v>11.7</v>
      </c>
      <c r="I64" s="4">
        <v>6.95</v>
      </c>
      <c r="J64" s="4">
        <v>18.649999999999999</v>
      </c>
      <c r="K64" s="4">
        <v>41</v>
      </c>
      <c r="L64" s="4">
        <v>15</v>
      </c>
      <c r="M64" s="4">
        <v>165</v>
      </c>
      <c r="N64" s="4">
        <v>180</v>
      </c>
      <c r="O64" s="4">
        <v>2.86</v>
      </c>
      <c r="P64" s="4">
        <v>31600</v>
      </c>
      <c r="Q64" s="4">
        <v>1.63</v>
      </c>
      <c r="R64" s="4">
        <v>5.2</v>
      </c>
      <c r="S64" s="4">
        <v>15</v>
      </c>
      <c r="T64" s="4">
        <v>1.3</v>
      </c>
      <c r="U64" s="4">
        <v>390</v>
      </c>
      <c r="V64" s="4">
        <v>0.5</v>
      </c>
      <c r="W64" s="4">
        <v>1.02</v>
      </c>
      <c r="X64" s="4">
        <v>2200</v>
      </c>
      <c r="Y64" s="4">
        <v>0.5</v>
      </c>
      <c r="AA64">
        <f t="shared" si="1"/>
        <v>2.4453811538878076</v>
      </c>
      <c r="AB64">
        <f t="shared" si="0"/>
        <v>28.671942987139865</v>
      </c>
      <c r="AC64">
        <f t="shared" si="2"/>
        <v>0.35664335664335667</v>
      </c>
      <c r="AD64">
        <f t="shared" si="3"/>
        <v>-4.0000000000000036E-3</v>
      </c>
      <c r="AI64" s="94">
        <f t="shared" si="6"/>
        <v>0.3</v>
      </c>
    </row>
    <row r="65" spans="1:35">
      <c r="A65" s="4">
        <v>60</v>
      </c>
      <c r="B65" s="4" t="s">
        <v>1382</v>
      </c>
      <c r="C65" s="4">
        <v>21</v>
      </c>
      <c r="D65" s="4">
        <v>7.5</v>
      </c>
      <c r="E65" s="4">
        <v>8.4</v>
      </c>
      <c r="F65" s="4" t="s">
        <v>1519</v>
      </c>
      <c r="G65" s="4" t="s">
        <v>1525</v>
      </c>
      <c r="H65" s="4">
        <v>12.65</v>
      </c>
      <c r="I65" s="4">
        <v>9.9499999999999993</v>
      </c>
      <c r="J65" s="4">
        <v>22.6</v>
      </c>
      <c r="K65" s="4">
        <v>44</v>
      </c>
      <c r="L65" s="4">
        <v>19</v>
      </c>
      <c r="M65" s="4">
        <v>170</v>
      </c>
      <c r="N65" s="4">
        <v>182</v>
      </c>
      <c r="O65" s="4">
        <v>4.34</v>
      </c>
      <c r="P65" s="4">
        <v>34100</v>
      </c>
      <c r="Q65" s="4">
        <v>1.49</v>
      </c>
      <c r="R65" s="4">
        <v>5.0999999999999996</v>
      </c>
      <c r="S65" s="4">
        <v>22</v>
      </c>
      <c r="T65" s="4">
        <v>1.9</v>
      </c>
      <c r="U65" s="4">
        <v>422</v>
      </c>
      <c r="V65" s="4">
        <v>0.8</v>
      </c>
      <c r="W65" s="4">
        <v>1.54</v>
      </c>
      <c r="X65" s="4">
        <v>2280</v>
      </c>
      <c r="Y65" s="4">
        <v>0.5</v>
      </c>
      <c r="AA65">
        <f t="shared" si="1"/>
        <v>3.4818816028979711</v>
      </c>
      <c r="AB65">
        <f t="shared" si="0"/>
        <v>24.187888567913433</v>
      </c>
      <c r="AC65">
        <f t="shared" si="2"/>
        <v>0.35483870967741937</v>
      </c>
      <c r="AD65">
        <f t="shared" si="3"/>
        <v>2.8000000000005798E-3</v>
      </c>
      <c r="AI65" s="94">
        <f t="shared" si="6"/>
        <v>0.35714285714285715</v>
      </c>
    </row>
    <row r="66" spans="1:35">
      <c r="A66" s="4">
        <v>61</v>
      </c>
      <c r="B66" s="4" t="s">
        <v>1382</v>
      </c>
      <c r="C66" s="4">
        <v>21</v>
      </c>
      <c r="D66" s="4">
        <v>8</v>
      </c>
      <c r="E66" s="4">
        <v>8.6</v>
      </c>
      <c r="F66" s="4" t="s">
        <v>1518</v>
      </c>
      <c r="G66" s="4" t="s">
        <v>1525</v>
      </c>
      <c r="H66" s="4">
        <v>9.3000000000000007</v>
      </c>
      <c r="I66" s="4">
        <v>10.45</v>
      </c>
      <c r="J66" s="4">
        <v>19.75</v>
      </c>
      <c r="K66" s="4">
        <v>46</v>
      </c>
      <c r="L66" s="4">
        <v>24</v>
      </c>
      <c r="M66" s="4">
        <v>198</v>
      </c>
      <c r="N66" s="4">
        <v>187</v>
      </c>
      <c r="O66" s="4">
        <v>4.7699999999999996</v>
      </c>
      <c r="P66" s="4">
        <v>28200</v>
      </c>
      <c r="Q66" s="4">
        <v>1.75</v>
      </c>
      <c r="R66" s="4">
        <v>4.9000000000000004</v>
      </c>
      <c r="S66" s="4">
        <v>23</v>
      </c>
      <c r="T66" s="4">
        <v>3.5</v>
      </c>
      <c r="U66" s="4">
        <v>339</v>
      </c>
      <c r="V66" s="4">
        <v>1.2</v>
      </c>
      <c r="W66" s="4">
        <v>1.61</v>
      </c>
      <c r="X66" s="4">
        <v>1360</v>
      </c>
      <c r="Y66" s="4">
        <v>0.7</v>
      </c>
      <c r="AA66">
        <f t="shared" si="1"/>
        <v>3.6157816328014265</v>
      </c>
      <c r="AB66">
        <f t="shared" si="0"/>
        <v>24.842432731919612</v>
      </c>
      <c r="AC66">
        <f t="shared" si="2"/>
        <v>0.33752620545073381</v>
      </c>
      <c r="AD66">
        <f t="shared" si="3"/>
        <v>-0.14929999999999932</v>
      </c>
      <c r="AI66" s="94">
        <f t="shared" si="6"/>
        <v>0.38095238095238093</v>
      </c>
    </row>
    <row r="67" spans="1:35">
      <c r="A67" s="4">
        <v>62</v>
      </c>
      <c r="B67" s="4" t="s">
        <v>1383</v>
      </c>
      <c r="C67" s="4">
        <v>21</v>
      </c>
      <c r="D67" s="4">
        <v>9.4</v>
      </c>
      <c r="E67" s="4">
        <v>8.6</v>
      </c>
      <c r="F67" s="4" t="s">
        <v>1469</v>
      </c>
      <c r="G67" s="4" t="s">
        <v>1529</v>
      </c>
      <c r="H67" s="4">
        <v>8.75</v>
      </c>
      <c r="I67" s="4">
        <v>18.7</v>
      </c>
      <c r="J67" s="4">
        <v>27.45</v>
      </c>
      <c r="K67" s="4">
        <v>37</v>
      </c>
      <c r="L67" s="4">
        <v>25</v>
      </c>
      <c r="M67" s="4">
        <v>184</v>
      </c>
      <c r="N67" s="4">
        <v>188</v>
      </c>
      <c r="O67" s="4">
        <v>6.99</v>
      </c>
      <c r="P67" s="4">
        <v>44300</v>
      </c>
      <c r="Q67" s="4">
        <v>1.21</v>
      </c>
      <c r="R67" s="4">
        <v>5.4</v>
      </c>
      <c r="S67" s="4">
        <v>38</v>
      </c>
      <c r="T67" s="4">
        <v>3.9</v>
      </c>
      <c r="U67" s="4">
        <v>346</v>
      </c>
      <c r="V67" s="4">
        <v>1.3</v>
      </c>
      <c r="W67" s="4">
        <v>2.4300000000000002</v>
      </c>
      <c r="X67" s="4">
        <v>1790</v>
      </c>
      <c r="Y67" s="4">
        <v>0.5</v>
      </c>
      <c r="AA67">
        <f t="shared" si="1"/>
        <v>5.1048267645003103</v>
      </c>
      <c r="AB67">
        <f t="shared" si="0"/>
        <v>12.216235946153366</v>
      </c>
      <c r="AC67">
        <f t="shared" si="2"/>
        <v>0.3476394849785408</v>
      </c>
      <c r="AD67">
        <f t="shared" si="3"/>
        <v>8.3999999999999631E-3</v>
      </c>
      <c r="AI67" s="94">
        <f t="shared" si="6"/>
        <v>0.44761904761904764</v>
      </c>
    </row>
    <row r="68" spans="1:35">
      <c r="A68" s="4">
        <v>63</v>
      </c>
      <c r="B68" s="4" t="s">
        <v>1383</v>
      </c>
      <c r="C68" s="4">
        <v>21</v>
      </c>
      <c r="D68" s="4">
        <v>9.6</v>
      </c>
      <c r="E68" s="4">
        <v>8.8000000000000007</v>
      </c>
      <c r="F68" s="4" t="s">
        <v>1469</v>
      </c>
      <c r="G68" s="4" t="s">
        <v>1526</v>
      </c>
      <c r="H68" s="4">
        <v>7.86</v>
      </c>
      <c r="I68" s="4">
        <v>15.94</v>
      </c>
      <c r="J68" s="4">
        <v>23.8</v>
      </c>
      <c r="K68" s="4">
        <v>45</v>
      </c>
      <c r="L68" s="4">
        <v>30</v>
      </c>
      <c r="M68" s="4">
        <v>178</v>
      </c>
      <c r="N68" s="4">
        <v>182</v>
      </c>
      <c r="O68" s="4">
        <v>7.25</v>
      </c>
      <c r="P68" s="4">
        <v>28800</v>
      </c>
      <c r="Q68" s="4">
        <v>1.91</v>
      </c>
      <c r="R68" s="4">
        <v>5.5</v>
      </c>
      <c r="S68" s="4">
        <v>40</v>
      </c>
      <c r="T68" s="4">
        <v>3.4</v>
      </c>
      <c r="U68" s="4">
        <v>373</v>
      </c>
      <c r="V68" s="4">
        <v>1.3</v>
      </c>
      <c r="W68" s="4">
        <v>2.57</v>
      </c>
      <c r="X68" s="4">
        <v>2130</v>
      </c>
      <c r="Y68" s="4">
        <v>0.5</v>
      </c>
      <c r="AA68">
        <f t="shared" si="1"/>
        <v>5.3461967523190133</v>
      </c>
      <c r="AB68">
        <f t="shared" si="0"/>
        <v>11.928756873691736</v>
      </c>
      <c r="AC68">
        <f t="shared" si="2"/>
        <v>0.35448275862068962</v>
      </c>
      <c r="AD68">
        <f t="shared" si="3"/>
        <v>-2.6000000000001577E-3</v>
      </c>
      <c r="AI68" s="94">
        <f t="shared" si="6"/>
        <v>0.45714285714285713</v>
      </c>
    </row>
    <row r="69" spans="1:35">
      <c r="A69" s="4">
        <v>64</v>
      </c>
      <c r="B69" s="4" t="s">
        <v>1382</v>
      </c>
      <c r="C69" s="4">
        <v>21</v>
      </c>
      <c r="D69" s="4">
        <v>11.2</v>
      </c>
      <c r="E69" s="4">
        <v>9.4</v>
      </c>
      <c r="F69" s="4" t="s">
        <v>1469</v>
      </c>
      <c r="G69" s="4" t="s">
        <v>1528</v>
      </c>
      <c r="H69" s="4">
        <v>7</v>
      </c>
      <c r="I69" s="4">
        <v>25.2</v>
      </c>
      <c r="J69" s="4">
        <v>32.200000000000003</v>
      </c>
      <c r="K69" s="4">
        <v>44</v>
      </c>
      <c r="L69" s="4">
        <v>35</v>
      </c>
      <c r="M69" s="4">
        <v>172</v>
      </c>
      <c r="N69" s="4">
        <v>171</v>
      </c>
      <c r="O69" s="4">
        <v>11.14</v>
      </c>
      <c r="P69" s="4">
        <v>50300</v>
      </c>
      <c r="Q69" s="4">
        <v>0.92</v>
      </c>
      <c r="R69" s="4">
        <v>4.7</v>
      </c>
      <c r="S69" s="4">
        <v>52</v>
      </c>
      <c r="T69" s="4">
        <v>6.5</v>
      </c>
      <c r="U69" s="4">
        <v>353</v>
      </c>
      <c r="V69" s="4">
        <v>2.2999999999999998</v>
      </c>
      <c r="W69" s="4">
        <v>4.1100000000000003</v>
      </c>
      <c r="X69" s="4">
        <v>1710</v>
      </c>
      <c r="Y69" s="4">
        <v>0.6</v>
      </c>
      <c r="AA69">
        <f t="shared" si="1"/>
        <v>7.8064525433272989</v>
      </c>
      <c r="AB69">
        <f t="shared" si="0"/>
        <v>2.5393934966680356</v>
      </c>
      <c r="AC69">
        <f t="shared" si="2"/>
        <v>0.36894075403949733</v>
      </c>
      <c r="AD69">
        <f t="shared" si="3"/>
        <v>-1.8999999999991246E-3</v>
      </c>
      <c r="AI69" s="94">
        <f t="shared" si="6"/>
        <v>0.53333333333333333</v>
      </c>
    </row>
    <row r="70" spans="1:35">
      <c r="A70" s="4">
        <v>65</v>
      </c>
      <c r="B70" s="4" t="s">
        <v>1383</v>
      </c>
      <c r="C70" s="4">
        <v>21</v>
      </c>
      <c r="D70" s="4">
        <v>12.2</v>
      </c>
      <c r="E70" s="4">
        <v>9.1999999999999993</v>
      </c>
      <c r="F70" s="4" t="s">
        <v>1519</v>
      </c>
      <c r="G70" s="4" t="s">
        <v>1527</v>
      </c>
      <c r="H70" s="4">
        <v>5.95</v>
      </c>
      <c r="I70" s="4">
        <v>33.299999999999997</v>
      </c>
      <c r="J70" s="4">
        <v>39.25</v>
      </c>
      <c r="K70" s="4">
        <v>41</v>
      </c>
      <c r="L70" s="4">
        <v>35</v>
      </c>
      <c r="M70" s="4">
        <v>175</v>
      </c>
      <c r="N70" s="4">
        <v>185</v>
      </c>
      <c r="O70" s="4">
        <v>13.72</v>
      </c>
      <c r="P70" s="4">
        <v>23400</v>
      </c>
      <c r="Q70" s="4">
        <v>2.19</v>
      </c>
      <c r="R70" s="4">
        <v>5.0999999999999996</v>
      </c>
      <c r="S70" s="4">
        <v>70</v>
      </c>
      <c r="T70" s="4">
        <v>6</v>
      </c>
      <c r="U70" s="4">
        <v>339</v>
      </c>
      <c r="V70" s="4">
        <v>2</v>
      </c>
      <c r="W70" s="4">
        <v>4.82</v>
      </c>
      <c r="X70" s="4">
        <v>2290</v>
      </c>
      <c r="Y70" s="4">
        <v>0.4</v>
      </c>
      <c r="AA70">
        <f t="shared" si="1"/>
        <v>8.8400127410604714</v>
      </c>
      <c r="AB70">
        <f t="shared" ref="AB70:AB133" si="7">(E70-AA70)^2</f>
        <v>0.1295908265987947</v>
      </c>
      <c r="AC70">
        <f t="shared" si="2"/>
        <v>0.35131195335276966</v>
      </c>
      <c r="AD70">
        <f t="shared" si="3"/>
        <v>1.7000000000001236E-2</v>
      </c>
      <c r="AI70" s="94">
        <f t="shared" si="6"/>
        <v>0.58095238095238089</v>
      </c>
    </row>
    <row r="71" spans="1:35">
      <c r="A71" s="4">
        <v>66</v>
      </c>
      <c r="B71" s="4" t="s">
        <v>1384</v>
      </c>
      <c r="C71" s="4">
        <v>21</v>
      </c>
      <c r="D71" s="4">
        <v>13.3</v>
      </c>
      <c r="E71" s="4">
        <v>9</v>
      </c>
      <c r="F71" s="4" t="s">
        <v>1469</v>
      </c>
      <c r="G71" s="4" t="s">
        <v>1526</v>
      </c>
      <c r="H71" s="4">
        <v>5.3</v>
      </c>
      <c r="I71" s="4">
        <v>49.25</v>
      </c>
      <c r="J71" s="4">
        <v>54.55</v>
      </c>
      <c r="K71" s="4">
        <v>37</v>
      </c>
      <c r="L71" s="4">
        <v>34</v>
      </c>
      <c r="M71" s="4">
        <v>163</v>
      </c>
      <c r="N71" s="4">
        <v>183</v>
      </c>
      <c r="O71" s="4">
        <v>18.420000000000002</v>
      </c>
      <c r="P71" s="4">
        <v>27300</v>
      </c>
      <c r="Q71" s="4">
        <v>1.84</v>
      </c>
      <c r="R71" s="4">
        <v>5</v>
      </c>
      <c r="S71" s="4">
        <v>93</v>
      </c>
      <c r="T71" s="4">
        <v>7</v>
      </c>
      <c r="U71" s="4">
        <v>377</v>
      </c>
      <c r="V71" s="4">
        <v>2.6</v>
      </c>
      <c r="W71" s="4">
        <v>6.52</v>
      </c>
      <c r="X71" s="4">
        <v>2630</v>
      </c>
      <c r="Y71" s="4">
        <v>0.4</v>
      </c>
      <c r="AA71">
        <f t="shared" ref="AA71:AA134" si="8">$AB$3/($AB$4+W71^$AB$5)</f>
        <v>11.110996771896426</v>
      </c>
      <c r="AB71">
        <f t="shared" si="7"/>
        <v>4.4563073709571315</v>
      </c>
      <c r="AC71">
        <f t="shared" ref="AC71:AC134" si="9">W71/O71</f>
        <v>0.35396308360477735</v>
      </c>
      <c r="AD71">
        <f t="shared" ref="AD71:AD134" si="10">W71*(1+N71/100)-O71</f>
        <v>3.1599999999997408E-2</v>
      </c>
      <c r="AI71" s="94">
        <f t="shared" ref="AI71:AI134" si="11">D71/C71</f>
        <v>0.63333333333333341</v>
      </c>
    </row>
    <row r="72" spans="1:35">
      <c r="A72" s="4">
        <v>67</v>
      </c>
      <c r="B72" s="4" t="s">
        <v>1385</v>
      </c>
      <c r="C72" s="4">
        <v>24</v>
      </c>
      <c r="D72" s="4">
        <v>4.8</v>
      </c>
      <c r="E72" s="4">
        <v>6.4</v>
      </c>
      <c r="F72" s="4" t="s">
        <v>1518</v>
      </c>
      <c r="G72" s="4" t="s">
        <v>1525</v>
      </c>
      <c r="H72" s="4">
        <v>6.4</v>
      </c>
      <c r="I72" s="4">
        <v>2.48</v>
      </c>
      <c r="J72" s="4">
        <v>8.8800000000000008</v>
      </c>
      <c r="K72" s="4">
        <v>35</v>
      </c>
      <c r="L72" s="4">
        <v>10</v>
      </c>
      <c r="M72" s="4">
        <v>141</v>
      </c>
      <c r="N72" s="4">
        <v>161</v>
      </c>
      <c r="O72" s="4">
        <v>0.86</v>
      </c>
      <c r="P72" s="4">
        <v>54400</v>
      </c>
      <c r="Q72" s="4">
        <v>1.08</v>
      </c>
      <c r="R72" s="4">
        <v>5.9</v>
      </c>
      <c r="S72" s="4">
        <v>5</v>
      </c>
      <c r="T72" s="4">
        <v>0.6</v>
      </c>
      <c r="U72" s="4">
        <v>423</v>
      </c>
      <c r="V72" s="4">
        <v>0.3</v>
      </c>
      <c r="W72" s="4">
        <v>0.33</v>
      </c>
      <c r="X72" s="4">
        <v>1430</v>
      </c>
      <c r="Y72" s="4">
        <v>0.9</v>
      </c>
      <c r="AA72">
        <f t="shared" si="8"/>
        <v>0.90833177009194077</v>
      </c>
      <c r="AB72">
        <f t="shared" si="7"/>
        <v>30.158419947381518</v>
      </c>
      <c r="AC72">
        <f t="shared" si="9"/>
        <v>0.38372093023255816</v>
      </c>
      <c r="AD72">
        <f t="shared" si="10"/>
        <v>1.3000000000001899E-3</v>
      </c>
      <c r="AI72" s="94">
        <f t="shared" si="11"/>
        <v>0.19999999999999998</v>
      </c>
    </row>
    <row r="73" spans="1:35">
      <c r="A73" s="4">
        <v>68</v>
      </c>
      <c r="B73" s="4" t="s">
        <v>1386</v>
      </c>
      <c r="C73" s="4">
        <v>24</v>
      </c>
      <c r="D73" s="4">
        <v>9.6</v>
      </c>
      <c r="E73" s="4">
        <v>9</v>
      </c>
      <c r="F73" s="4" t="s">
        <v>1469</v>
      </c>
      <c r="G73" s="4" t="s">
        <v>1525</v>
      </c>
      <c r="H73" s="4">
        <v>5.2</v>
      </c>
      <c r="I73" s="4">
        <v>13.62</v>
      </c>
      <c r="J73" s="4">
        <v>18.82</v>
      </c>
      <c r="K73" s="4">
        <v>35</v>
      </c>
      <c r="L73" s="4">
        <v>26</v>
      </c>
      <c r="M73" s="4">
        <v>154</v>
      </c>
      <c r="N73" s="4">
        <v>142</v>
      </c>
      <c r="O73" s="4">
        <v>4.82</v>
      </c>
      <c r="P73" s="4">
        <v>36100</v>
      </c>
      <c r="Q73" s="4">
        <v>1.52</v>
      </c>
      <c r="R73" s="4">
        <v>5.5</v>
      </c>
      <c r="S73" s="4">
        <v>27</v>
      </c>
      <c r="T73" s="4">
        <v>3.3</v>
      </c>
      <c r="U73" s="4">
        <v>393</v>
      </c>
      <c r="V73" s="4">
        <v>1.3</v>
      </c>
      <c r="W73" s="4">
        <v>1.99</v>
      </c>
      <c r="X73" s="4">
        <v>1460</v>
      </c>
      <c r="Y73" s="4">
        <v>0.7</v>
      </c>
      <c r="AA73">
        <f t="shared" si="8"/>
        <v>4.3229429882434474</v>
      </c>
      <c r="AB73">
        <f t="shared" si="7"/>
        <v>21.874862291221135</v>
      </c>
      <c r="AC73">
        <f t="shared" si="9"/>
        <v>0.41286307053941906</v>
      </c>
      <c r="AD73">
        <f t="shared" si="10"/>
        <v>-4.2000000000008697E-3</v>
      </c>
      <c r="AI73" s="94">
        <f t="shared" si="11"/>
        <v>0.39999999999999997</v>
      </c>
    </row>
    <row r="74" spans="1:35">
      <c r="A74" s="4">
        <v>69</v>
      </c>
      <c r="B74" s="4" t="s">
        <v>1483</v>
      </c>
      <c r="C74" s="4">
        <v>24</v>
      </c>
      <c r="D74" s="4">
        <v>11.2</v>
      </c>
      <c r="E74" s="4">
        <v>8.6</v>
      </c>
      <c r="F74" s="4" t="s">
        <v>1519</v>
      </c>
      <c r="G74" s="4" t="s">
        <v>1525</v>
      </c>
      <c r="H74" s="4">
        <v>3.3</v>
      </c>
      <c r="I74" s="4">
        <v>10.95</v>
      </c>
      <c r="J74" s="4">
        <v>14.25</v>
      </c>
      <c r="K74" s="4">
        <v>40</v>
      </c>
      <c r="L74" s="4">
        <v>31</v>
      </c>
      <c r="M74" s="4">
        <v>165</v>
      </c>
      <c r="N74" s="4">
        <v>159</v>
      </c>
      <c r="O74" s="4">
        <v>4.38</v>
      </c>
      <c r="P74" s="4">
        <v>37700</v>
      </c>
      <c r="Q74" s="4">
        <v>1.47</v>
      </c>
      <c r="R74" s="4">
        <v>5.5</v>
      </c>
      <c r="S74" s="4">
        <v>24</v>
      </c>
      <c r="T74" s="4">
        <v>4.2</v>
      </c>
      <c r="U74" s="4">
        <v>347</v>
      </c>
      <c r="V74" s="4">
        <v>1.5</v>
      </c>
      <c r="W74" s="4">
        <v>1.69</v>
      </c>
      <c r="X74" s="4">
        <v>1040</v>
      </c>
      <c r="Y74" s="4">
        <v>0.9</v>
      </c>
      <c r="AA74">
        <f t="shared" si="8"/>
        <v>3.7673634703976067</v>
      </c>
      <c r="AB74">
        <f t="shared" si="7"/>
        <v>23.354375827247459</v>
      </c>
      <c r="AC74">
        <f t="shared" si="9"/>
        <v>0.38584474885844749</v>
      </c>
      <c r="AD74">
        <f t="shared" si="10"/>
        <v>-2.9000000000003467E-3</v>
      </c>
      <c r="AI74" s="94">
        <f t="shared" si="11"/>
        <v>0.46666666666666662</v>
      </c>
    </row>
    <row r="75" spans="1:35">
      <c r="A75" s="4">
        <v>70</v>
      </c>
      <c r="B75" s="4" t="s">
        <v>1482</v>
      </c>
      <c r="C75" s="4">
        <v>24</v>
      </c>
      <c r="D75" s="4">
        <v>6.2</v>
      </c>
      <c r="E75" s="4">
        <v>9.4</v>
      </c>
      <c r="F75" s="4" t="s">
        <v>1518</v>
      </c>
      <c r="G75" s="4" t="s">
        <v>1525</v>
      </c>
      <c r="H75" s="4">
        <v>12.5</v>
      </c>
      <c r="I75" s="4">
        <v>3.22</v>
      </c>
      <c r="J75" s="4">
        <v>15.72</v>
      </c>
      <c r="K75" s="4">
        <v>34</v>
      </c>
      <c r="L75" s="4">
        <v>7</v>
      </c>
      <c r="M75" s="4">
        <v>162</v>
      </c>
      <c r="N75" s="4">
        <v>157</v>
      </c>
      <c r="O75" s="4">
        <v>1.08</v>
      </c>
      <c r="P75" s="4">
        <v>30000</v>
      </c>
      <c r="Q75" s="4">
        <v>1.84</v>
      </c>
      <c r="R75" s="4">
        <v>5.5</v>
      </c>
      <c r="S75" s="4">
        <v>6</v>
      </c>
      <c r="T75" s="4">
        <v>1.1000000000000001</v>
      </c>
      <c r="U75" s="4">
        <v>410</v>
      </c>
      <c r="V75" s="4">
        <v>0.5</v>
      </c>
      <c r="W75" s="4">
        <v>0.42</v>
      </c>
      <c r="X75" s="4">
        <v>980</v>
      </c>
      <c r="Y75" s="4">
        <v>1.2</v>
      </c>
      <c r="AA75">
        <f t="shared" si="8"/>
        <v>1.1245506919933073</v>
      </c>
      <c r="AB75">
        <f t="shared" si="7"/>
        <v>68.483061249388442</v>
      </c>
      <c r="AC75">
        <f t="shared" si="9"/>
        <v>0.38888888888888884</v>
      </c>
      <c r="AD75">
        <f t="shared" si="10"/>
        <v>-5.9999999999993392E-4</v>
      </c>
      <c r="AI75" s="94">
        <f t="shared" si="11"/>
        <v>0.25833333333333336</v>
      </c>
    </row>
    <row r="76" spans="1:35">
      <c r="A76" s="4">
        <v>71</v>
      </c>
      <c r="B76" s="4" t="s">
        <v>1342</v>
      </c>
      <c r="C76" s="4">
        <v>24</v>
      </c>
      <c r="D76" s="4">
        <v>11</v>
      </c>
      <c r="E76" s="4">
        <v>11.6</v>
      </c>
      <c r="F76" s="4" t="s">
        <v>1469</v>
      </c>
      <c r="G76" s="4" t="s">
        <v>1526</v>
      </c>
      <c r="H76" s="4">
        <v>6.3</v>
      </c>
      <c r="I76" s="4">
        <v>20.94</v>
      </c>
      <c r="J76" s="4">
        <v>27.24</v>
      </c>
      <c r="K76" s="4">
        <v>23</v>
      </c>
      <c r="L76" s="4">
        <v>18</v>
      </c>
      <c r="M76" s="4">
        <v>169</v>
      </c>
      <c r="N76" s="4">
        <v>150</v>
      </c>
      <c r="O76" s="4">
        <v>4.7699999999999996</v>
      </c>
      <c r="P76" s="4">
        <v>29000</v>
      </c>
      <c r="Q76" s="4">
        <v>1.91</v>
      </c>
      <c r="R76" s="4">
        <v>5.5</v>
      </c>
      <c r="S76" s="4">
        <v>26</v>
      </c>
      <c r="T76" s="4">
        <v>5.2</v>
      </c>
      <c r="U76" s="4">
        <v>398</v>
      </c>
      <c r="V76" s="4">
        <v>2.1</v>
      </c>
      <c r="W76" s="4">
        <v>1.91</v>
      </c>
      <c r="X76" s="4">
        <v>920</v>
      </c>
      <c r="Y76" s="4">
        <v>1.1000000000000001</v>
      </c>
      <c r="AA76">
        <f t="shared" si="8"/>
        <v>4.1766894858624388</v>
      </c>
      <c r="AB76">
        <f t="shared" si="7"/>
        <v>55.105538989305259</v>
      </c>
      <c r="AC76">
        <f t="shared" si="9"/>
        <v>0.40041928721174008</v>
      </c>
      <c r="AD76">
        <f t="shared" si="10"/>
        <v>4.9999999999998934E-3</v>
      </c>
      <c r="AI76" s="94">
        <f t="shared" si="11"/>
        <v>0.45833333333333331</v>
      </c>
    </row>
    <row r="77" spans="1:35">
      <c r="A77" s="4">
        <v>72</v>
      </c>
      <c r="B77" s="4" t="s">
        <v>1342</v>
      </c>
      <c r="C77" s="4">
        <v>24</v>
      </c>
      <c r="D77" s="4">
        <v>11.9</v>
      </c>
      <c r="E77" s="4">
        <v>11.6</v>
      </c>
      <c r="F77" s="4" t="s">
        <v>1519</v>
      </c>
      <c r="G77" s="4" t="s">
        <v>1527</v>
      </c>
      <c r="H77" s="4">
        <v>5.5</v>
      </c>
      <c r="I77" s="4">
        <v>14.04</v>
      </c>
      <c r="J77" s="4">
        <v>19.54</v>
      </c>
      <c r="K77" s="4">
        <v>36</v>
      </c>
      <c r="L77" s="4">
        <v>26</v>
      </c>
      <c r="M77" s="4">
        <v>160</v>
      </c>
      <c r="N77" s="4">
        <v>160</v>
      </c>
      <c r="O77" s="4">
        <v>5.05</v>
      </c>
      <c r="P77" s="4">
        <v>48000</v>
      </c>
      <c r="Q77" s="4">
        <v>1.21</v>
      </c>
      <c r="R77" s="4">
        <v>5.8</v>
      </c>
      <c r="S77" s="4">
        <v>29</v>
      </c>
      <c r="T77" s="4">
        <v>6.2</v>
      </c>
      <c r="U77" s="4">
        <v>373</v>
      </c>
      <c r="V77" s="4">
        <v>2.2999999999999998</v>
      </c>
      <c r="W77" s="4">
        <v>1.94</v>
      </c>
      <c r="X77" s="4">
        <v>810</v>
      </c>
      <c r="Y77" s="4">
        <v>1.2</v>
      </c>
      <c r="AA77">
        <f t="shared" si="8"/>
        <v>4.2316911372411061</v>
      </c>
      <c r="AB77">
        <f t="shared" si="7"/>
        <v>54.291975497011258</v>
      </c>
      <c r="AC77">
        <f t="shared" si="9"/>
        <v>0.38415841584158417</v>
      </c>
      <c r="AD77">
        <f t="shared" si="10"/>
        <v>-6.0000000000002274E-3</v>
      </c>
      <c r="AI77" s="94">
        <f t="shared" si="11"/>
        <v>0.49583333333333335</v>
      </c>
    </row>
    <row r="78" spans="1:35">
      <c r="A78" s="4">
        <v>73</v>
      </c>
      <c r="B78" s="4" t="s">
        <v>1387</v>
      </c>
      <c r="C78" s="4">
        <v>24</v>
      </c>
      <c r="D78" s="4">
        <v>8.6</v>
      </c>
      <c r="E78" s="4">
        <v>11</v>
      </c>
      <c r="F78" s="4" t="s">
        <v>1518</v>
      </c>
      <c r="G78" s="4" t="s">
        <v>1525</v>
      </c>
      <c r="H78" s="4">
        <v>9.1</v>
      </c>
      <c r="I78" s="4">
        <v>4.05</v>
      </c>
      <c r="J78" s="4">
        <v>13.15</v>
      </c>
      <c r="K78" s="4">
        <v>30</v>
      </c>
      <c r="L78" s="4">
        <v>9</v>
      </c>
      <c r="M78" s="4">
        <v>168</v>
      </c>
      <c r="N78" s="4">
        <v>160</v>
      </c>
      <c r="O78" s="4">
        <v>1.22</v>
      </c>
      <c r="P78" s="4">
        <v>43900</v>
      </c>
      <c r="Q78" s="4">
        <v>1.29</v>
      </c>
      <c r="R78" s="4">
        <v>5.7</v>
      </c>
      <c r="S78" s="4">
        <v>7</v>
      </c>
      <c r="T78" s="4">
        <v>2.8</v>
      </c>
      <c r="U78" s="4">
        <v>348</v>
      </c>
      <c r="V78" s="4">
        <v>1</v>
      </c>
      <c r="W78" s="4">
        <v>0.47</v>
      </c>
      <c r="X78" s="4">
        <v>440</v>
      </c>
      <c r="Y78" s="4">
        <v>2.1</v>
      </c>
      <c r="AA78">
        <f t="shared" si="8"/>
        <v>1.2419699555980184</v>
      </c>
      <c r="AB78">
        <f t="shared" si="7"/>
        <v>95.219150347451759</v>
      </c>
      <c r="AC78">
        <f t="shared" si="9"/>
        <v>0.38524590163934425</v>
      </c>
      <c r="AD78">
        <f t="shared" si="10"/>
        <v>2.0000000000000018E-3</v>
      </c>
      <c r="AI78" s="94">
        <f t="shared" si="11"/>
        <v>0.35833333333333334</v>
      </c>
    </row>
    <row r="79" spans="1:35">
      <c r="A79" s="4">
        <v>74</v>
      </c>
      <c r="B79" s="4" t="s">
        <v>1369</v>
      </c>
      <c r="C79" s="4">
        <v>24</v>
      </c>
      <c r="D79" s="4">
        <v>10.8</v>
      </c>
      <c r="E79" s="4">
        <v>12</v>
      </c>
      <c r="F79" s="4" t="s">
        <v>1469</v>
      </c>
      <c r="G79" s="4" t="s">
        <v>1528</v>
      </c>
      <c r="H79" s="4">
        <v>10.199999999999999</v>
      </c>
      <c r="I79" s="4">
        <v>9.19</v>
      </c>
      <c r="J79" s="4">
        <v>19.39</v>
      </c>
      <c r="K79" s="4">
        <v>31</v>
      </c>
      <c r="L79" s="4">
        <v>15</v>
      </c>
      <c r="M79" s="4">
        <v>180</v>
      </c>
      <c r="N79" s="4">
        <v>156</v>
      </c>
      <c r="O79" s="4">
        <v>2.84</v>
      </c>
      <c r="P79" s="4">
        <v>25000</v>
      </c>
      <c r="Q79" s="4">
        <v>2.19</v>
      </c>
      <c r="R79" s="4">
        <v>5.5</v>
      </c>
      <c r="S79" s="4">
        <v>16</v>
      </c>
      <c r="T79" s="4">
        <v>3.9</v>
      </c>
      <c r="U79" s="4">
        <v>379</v>
      </c>
      <c r="V79" s="4">
        <v>1.5</v>
      </c>
      <c r="W79" s="4">
        <v>1.1100000000000001</v>
      </c>
      <c r="X79" s="4">
        <v>730</v>
      </c>
      <c r="Y79" s="4">
        <v>1.4</v>
      </c>
      <c r="AA79">
        <f t="shared" si="8"/>
        <v>2.6306044225032705</v>
      </c>
      <c r="AB79">
        <f t="shared" si="7"/>
        <v>87.785573487615252</v>
      </c>
      <c r="AC79">
        <f t="shared" si="9"/>
        <v>0.39084507042253525</v>
      </c>
      <c r="AD79">
        <f t="shared" si="10"/>
        <v>1.6000000000002679E-3</v>
      </c>
      <c r="AI79" s="94">
        <f t="shared" si="11"/>
        <v>0.45</v>
      </c>
    </row>
    <row r="80" spans="1:35">
      <c r="A80" s="4">
        <v>75</v>
      </c>
      <c r="B80" s="4" t="s">
        <v>1369</v>
      </c>
      <c r="C80" s="4">
        <v>24</v>
      </c>
      <c r="D80" s="4">
        <v>14.6</v>
      </c>
      <c r="E80" s="4">
        <v>12.6</v>
      </c>
      <c r="F80" s="4" t="s">
        <v>1519</v>
      </c>
      <c r="G80" s="4" t="s">
        <v>1525</v>
      </c>
      <c r="H80" s="4">
        <v>5.3</v>
      </c>
      <c r="I80" s="4">
        <v>22.27</v>
      </c>
      <c r="J80" s="4">
        <v>27.57</v>
      </c>
      <c r="K80" s="4">
        <v>28</v>
      </c>
      <c r="L80" s="4">
        <v>23</v>
      </c>
      <c r="M80" s="4">
        <v>173</v>
      </c>
      <c r="N80" s="4">
        <v>167</v>
      </c>
      <c r="O80" s="4">
        <v>6.24</v>
      </c>
      <c r="P80" s="4">
        <v>33000</v>
      </c>
      <c r="Q80" s="4">
        <v>1.71</v>
      </c>
      <c r="R80" s="4">
        <v>5.6</v>
      </c>
      <c r="S80" s="4">
        <v>35</v>
      </c>
      <c r="T80" s="4">
        <v>8.1</v>
      </c>
      <c r="U80" s="4">
        <v>365</v>
      </c>
      <c r="V80" s="4">
        <v>3</v>
      </c>
      <c r="W80" s="4">
        <v>2.34</v>
      </c>
      <c r="X80" s="4">
        <v>770</v>
      </c>
      <c r="Y80" s="4">
        <v>1.3</v>
      </c>
      <c r="AA80">
        <f t="shared" si="8"/>
        <v>4.9478425555336605</v>
      </c>
      <c r="AB80">
        <f t="shared" si="7"/>
        <v>58.555513554901616</v>
      </c>
      <c r="AC80">
        <f t="shared" si="9"/>
        <v>0.37499999999999994</v>
      </c>
      <c r="AD80">
        <f t="shared" si="10"/>
        <v>7.799999999999585E-3</v>
      </c>
      <c r="AI80" s="94">
        <f t="shared" si="11"/>
        <v>0.60833333333333328</v>
      </c>
    </row>
    <row r="81" spans="1:35">
      <c r="A81" s="4">
        <v>76</v>
      </c>
      <c r="B81" s="6" t="s">
        <v>1530</v>
      </c>
      <c r="C81" s="4">
        <v>25</v>
      </c>
      <c r="D81" s="4">
        <v>11.3</v>
      </c>
      <c r="E81" s="4">
        <v>10.8</v>
      </c>
      <c r="F81" s="4" t="s">
        <v>1469</v>
      </c>
      <c r="G81" s="4" t="s">
        <v>1526</v>
      </c>
      <c r="H81" s="4">
        <v>6.2</v>
      </c>
      <c r="I81" s="4">
        <v>18.72</v>
      </c>
      <c r="J81" s="4">
        <v>24.92</v>
      </c>
      <c r="K81" s="4">
        <v>31</v>
      </c>
      <c r="L81" s="4">
        <v>23</v>
      </c>
      <c r="M81" s="4" t="s">
        <v>1388</v>
      </c>
      <c r="N81" s="4">
        <v>192</v>
      </c>
      <c r="O81" s="4">
        <v>5.72</v>
      </c>
      <c r="P81" s="4">
        <v>28400</v>
      </c>
      <c r="Q81" s="4">
        <v>1.57</v>
      </c>
      <c r="R81" s="4">
        <v>4.5</v>
      </c>
      <c r="S81" s="4">
        <v>26</v>
      </c>
      <c r="T81" s="4">
        <v>4.2</v>
      </c>
      <c r="U81" s="4">
        <v>384</v>
      </c>
      <c r="V81" s="4">
        <v>1.6</v>
      </c>
      <c r="W81" s="4">
        <v>1.96</v>
      </c>
      <c r="X81" s="4">
        <v>1360</v>
      </c>
      <c r="Y81" s="4">
        <v>0.8</v>
      </c>
      <c r="AA81">
        <f t="shared" si="8"/>
        <v>4.2682541060704446</v>
      </c>
      <c r="AB81">
        <f t="shared" si="7"/>
        <v>42.663704422865614</v>
      </c>
      <c r="AC81">
        <f t="shared" si="9"/>
        <v>0.34265734265734266</v>
      </c>
      <c r="AD81">
        <f t="shared" si="10"/>
        <v>3.1999999999996476E-3</v>
      </c>
      <c r="AI81" s="94">
        <f t="shared" si="11"/>
        <v>0.45200000000000001</v>
      </c>
    </row>
    <row r="82" spans="1:35">
      <c r="A82" s="4">
        <v>77</v>
      </c>
      <c r="B82" s="6" t="s">
        <v>1377</v>
      </c>
      <c r="C82" s="4">
        <v>25</v>
      </c>
      <c r="D82" s="4">
        <v>8.6</v>
      </c>
      <c r="E82" s="4">
        <v>9</v>
      </c>
      <c r="F82" s="4" t="s">
        <v>1469</v>
      </c>
      <c r="G82" s="4" t="s">
        <v>1529</v>
      </c>
      <c r="H82" s="4">
        <v>8.17</v>
      </c>
      <c r="I82" s="4">
        <v>8.3699999999999992</v>
      </c>
      <c r="J82" s="4">
        <v>16.54</v>
      </c>
      <c r="K82" s="4">
        <v>39</v>
      </c>
      <c r="L82" s="4">
        <v>20</v>
      </c>
      <c r="M82" s="4">
        <v>152</v>
      </c>
      <c r="N82" s="4">
        <v>123</v>
      </c>
      <c r="O82" s="4">
        <v>3.24</v>
      </c>
      <c r="P82" s="4">
        <v>60800</v>
      </c>
      <c r="Q82" s="4">
        <v>1.04</v>
      </c>
      <c r="R82" s="4">
        <v>6.3</v>
      </c>
      <c r="S82" s="4">
        <v>20</v>
      </c>
      <c r="T82" s="4">
        <v>1.9</v>
      </c>
      <c r="U82" s="4">
        <v>369</v>
      </c>
      <c r="V82" s="4">
        <v>0.7</v>
      </c>
      <c r="W82" s="4">
        <v>1.45</v>
      </c>
      <c r="X82" s="4">
        <v>1710</v>
      </c>
      <c r="Y82" s="4">
        <v>0.5</v>
      </c>
      <c r="AA82">
        <f t="shared" si="8"/>
        <v>3.3079185338462569</v>
      </c>
      <c r="AB82">
        <f t="shared" si="7"/>
        <v>32.399791417330945</v>
      </c>
      <c r="AC82">
        <f t="shared" si="9"/>
        <v>0.4475308641975308</v>
      </c>
      <c r="AD82">
        <f t="shared" si="10"/>
        <v>-6.5000000000003944E-3</v>
      </c>
      <c r="AI82" s="94">
        <f t="shared" si="11"/>
        <v>0.34399999999999997</v>
      </c>
    </row>
    <row r="83" spans="1:35">
      <c r="A83" s="4">
        <v>78</v>
      </c>
      <c r="B83" s="4" t="s">
        <v>1389</v>
      </c>
      <c r="C83" s="4">
        <v>25</v>
      </c>
      <c r="D83" s="4">
        <v>7.2</v>
      </c>
      <c r="E83" s="4">
        <v>9.1</v>
      </c>
      <c r="F83" s="4" t="s">
        <v>1518</v>
      </c>
      <c r="G83" s="4" t="s">
        <v>1527</v>
      </c>
      <c r="H83" s="4">
        <v>10.95</v>
      </c>
      <c r="I83" s="4">
        <v>5.05</v>
      </c>
      <c r="J83" s="4">
        <v>16</v>
      </c>
      <c r="K83" s="4">
        <v>43</v>
      </c>
      <c r="L83" s="4">
        <v>14</v>
      </c>
      <c r="M83" s="4">
        <v>128</v>
      </c>
      <c r="N83" s="4">
        <v>143</v>
      </c>
      <c r="O83" s="4">
        <v>2.19</v>
      </c>
      <c r="P83" s="4">
        <v>50000</v>
      </c>
      <c r="Q83" s="4">
        <v>1.32</v>
      </c>
      <c r="R83" s="4">
        <v>6.6</v>
      </c>
      <c r="S83" s="4">
        <v>14</v>
      </c>
      <c r="T83" s="4">
        <v>1.1000000000000001</v>
      </c>
      <c r="U83" s="4">
        <v>432</v>
      </c>
      <c r="V83" s="4">
        <v>0.5</v>
      </c>
      <c r="W83" s="4">
        <v>0.9</v>
      </c>
      <c r="X83" s="4">
        <v>1990</v>
      </c>
      <c r="Y83" s="4">
        <v>0.6</v>
      </c>
      <c r="AA83">
        <f t="shared" si="8"/>
        <v>2.1940104800524023</v>
      </c>
      <c r="AB83">
        <f t="shared" si="7"/>
        <v>47.692691249626051</v>
      </c>
      <c r="AC83">
        <f t="shared" si="9"/>
        <v>0.41095890410958907</v>
      </c>
      <c r="AD83">
        <f t="shared" si="10"/>
        <v>-3.0000000000001137E-3</v>
      </c>
      <c r="AI83" s="94">
        <f t="shared" si="11"/>
        <v>0.28800000000000003</v>
      </c>
    </row>
    <row r="84" spans="1:35">
      <c r="A84" s="4">
        <v>79</v>
      </c>
      <c r="B84" s="4" t="s">
        <v>1390</v>
      </c>
      <c r="C84" s="4">
        <v>25</v>
      </c>
      <c r="D84" s="4">
        <v>9</v>
      </c>
      <c r="E84" s="4">
        <v>9.6</v>
      </c>
      <c r="F84" s="4" t="s">
        <v>1469</v>
      </c>
      <c r="G84" s="4" t="s">
        <v>1526</v>
      </c>
      <c r="H84" s="4">
        <v>10.7</v>
      </c>
      <c r="I84" s="4">
        <v>9</v>
      </c>
      <c r="J84" s="4">
        <v>19.7</v>
      </c>
      <c r="K84" s="4">
        <v>48</v>
      </c>
      <c r="L84" s="4">
        <v>22</v>
      </c>
      <c r="M84" s="4">
        <v>150</v>
      </c>
      <c r="N84" s="4">
        <v>138</v>
      </c>
      <c r="O84" s="4">
        <v>4.33</v>
      </c>
      <c r="P84" s="4">
        <v>34700</v>
      </c>
      <c r="Q84" s="4">
        <v>1.74</v>
      </c>
      <c r="R84" s="4">
        <v>6</v>
      </c>
      <c r="S84" s="4">
        <v>26</v>
      </c>
      <c r="T84" s="4">
        <v>3.4</v>
      </c>
      <c r="U84" s="4">
        <v>417</v>
      </c>
      <c r="V84" s="4">
        <v>1.4</v>
      </c>
      <c r="W84" s="4">
        <v>1.82</v>
      </c>
      <c r="X84" s="4">
        <v>1270</v>
      </c>
      <c r="Y84" s="4">
        <v>0.8</v>
      </c>
      <c r="AA84">
        <f t="shared" si="8"/>
        <v>4.0105313586011864</v>
      </c>
      <c r="AB84">
        <f t="shared" si="7"/>
        <v>31.242159693180696</v>
      </c>
      <c r="AC84">
        <f t="shared" si="9"/>
        <v>0.42032332563510394</v>
      </c>
      <c r="AD84">
        <f t="shared" si="10"/>
        <v>1.5999999999998238E-3</v>
      </c>
      <c r="AI84" s="94">
        <f t="shared" si="11"/>
        <v>0.36</v>
      </c>
    </row>
    <row r="85" spans="1:35">
      <c r="A85" s="4">
        <v>80</v>
      </c>
      <c r="B85" s="4" t="s">
        <v>1391</v>
      </c>
      <c r="C85" s="4">
        <v>25</v>
      </c>
      <c r="D85" s="4">
        <v>10.1</v>
      </c>
      <c r="E85" s="4">
        <v>12.4</v>
      </c>
      <c r="F85" s="4" t="s">
        <v>1469</v>
      </c>
      <c r="G85" s="4" t="s">
        <v>1526</v>
      </c>
      <c r="H85" s="4">
        <v>9.6999999999999993</v>
      </c>
      <c r="I85" s="4">
        <v>13.2</v>
      </c>
      <c r="J85" s="4">
        <v>22.9</v>
      </c>
      <c r="K85" s="4">
        <v>36</v>
      </c>
      <c r="L85" s="4">
        <v>21</v>
      </c>
      <c r="M85" s="4">
        <v>133</v>
      </c>
      <c r="N85" s="4">
        <v>133</v>
      </c>
      <c r="O85" s="4">
        <v>4.8099999999999996</v>
      </c>
      <c r="P85" s="4">
        <v>28300</v>
      </c>
      <c r="Q85" s="4">
        <v>1.99</v>
      </c>
      <c r="R85" s="4">
        <v>5.6</v>
      </c>
      <c r="S85" s="4">
        <v>27</v>
      </c>
      <c r="T85" s="4">
        <v>3.2</v>
      </c>
      <c r="U85" s="4">
        <v>420</v>
      </c>
      <c r="V85" s="4">
        <v>1.3</v>
      </c>
      <c r="W85" s="4">
        <v>2.06</v>
      </c>
      <c r="X85" s="4">
        <v>1500</v>
      </c>
      <c r="Y85" s="4">
        <v>0.6</v>
      </c>
      <c r="AA85">
        <f t="shared" si="8"/>
        <v>4.4498353857397097</v>
      </c>
      <c r="AB85">
        <f t="shared" si="7"/>
        <v>63.205117393836474</v>
      </c>
      <c r="AC85">
        <f t="shared" si="9"/>
        <v>0.4282744282744283</v>
      </c>
      <c r="AD85">
        <f t="shared" si="10"/>
        <v>-1.0199999999999321E-2</v>
      </c>
      <c r="AI85" s="94">
        <f t="shared" si="11"/>
        <v>0.40399999999999997</v>
      </c>
    </row>
    <row r="86" spans="1:35">
      <c r="A86" s="4">
        <v>81</v>
      </c>
      <c r="B86" s="4" t="s">
        <v>1391</v>
      </c>
      <c r="C86" s="4">
        <v>25</v>
      </c>
      <c r="D86" s="4">
        <v>12.4</v>
      </c>
      <c r="E86" s="4">
        <v>12.6</v>
      </c>
      <c r="F86" s="4" t="s">
        <v>1519</v>
      </c>
      <c r="G86" s="4" t="s">
        <v>1527</v>
      </c>
      <c r="H86" s="4">
        <v>6.26</v>
      </c>
      <c r="I86" s="4">
        <v>21.14</v>
      </c>
      <c r="J86" s="4">
        <v>27.4</v>
      </c>
      <c r="K86" s="4">
        <v>32</v>
      </c>
      <c r="L86" s="4">
        <v>25</v>
      </c>
      <c r="M86" s="4">
        <v>135</v>
      </c>
      <c r="N86" s="4">
        <v>124</v>
      </c>
      <c r="O86" s="4">
        <v>6.75</v>
      </c>
      <c r="P86" s="4">
        <v>40100</v>
      </c>
      <c r="Q86" s="4">
        <v>1.37</v>
      </c>
      <c r="R86" s="4">
        <v>5.5</v>
      </c>
      <c r="S86" s="4">
        <v>37</v>
      </c>
      <c r="T86" s="4">
        <v>6.1</v>
      </c>
      <c r="U86" s="4">
        <v>408</v>
      </c>
      <c r="V86" s="4">
        <v>2.5</v>
      </c>
      <c r="W86" s="4">
        <v>3.02</v>
      </c>
      <c r="X86" s="4">
        <v>1110</v>
      </c>
      <c r="Y86" s="4">
        <v>0.8</v>
      </c>
      <c r="AA86">
        <f t="shared" si="8"/>
        <v>6.100196577398024</v>
      </c>
      <c r="AB86">
        <f t="shared" si="7"/>
        <v>42.247444532468357</v>
      </c>
      <c r="AC86">
        <f t="shared" si="9"/>
        <v>0.44740740740740742</v>
      </c>
      <c r="AD86">
        <f t="shared" si="10"/>
        <v>1.4800000000001035E-2</v>
      </c>
      <c r="AI86" s="94">
        <f t="shared" si="11"/>
        <v>0.496</v>
      </c>
    </row>
    <row r="87" spans="1:35">
      <c r="A87" s="4">
        <v>82</v>
      </c>
      <c r="B87" s="6" t="s">
        <v>1392</v>
      </c>
      <c r="C87" s="4">
        <v>24</v>
      </c>
      <c r="D87" s="4">
        <v>6.6</v>
      </c>
      <c r="E87" s="4">
        <v>8</v>
      </c>
      <c r="F87" s="4" t="s">
        <v>1523</v>
      </c>
      <c r="G87" s="4" t="s">
        <v>1525</v>
      </c>
      <c r="H87" s="4">
        <v>9.6</v>
      </c>
      <c r="I87" s="4">
        <v>1.39</v>
      </c>
      <c r="J87" s="4">
        <v>10.99</v>
      </c>
      <c r="K87" s="4">
        <v>37</v>
      </c>
      <c r="L87" s="4">
        <v>5</v>
      </c>
      <c r="M87" s="4">
        <v>147</v>
      </c>
      <c r="N87" s="4">
        <v>143</v>
      </c>
      <c r="O87" s="4">
        <v>0.51</v>
      </c>
      <c r="P87" s="4">
        <v>63000</v>
      </c>
      <c r="Q87" s="4">
        <v>0.96</v>
      </c>
      <c r="R87" s="4">
        <v>6</v>
      </c>
      <c r="S87" s="4">
        <v>3</v>
      </c>
      <c r="T87" s="4">
        <v>0.5</v>
      </c>
      <c r="U87" s="4">
        <v>403</v>
      </c>
      <c r="V87" s="4">
        <v>0.2</v>
      </c>
      <c r="W87" s="4">
        <v>0.21</v>
      </c>
      <c r="X87" s="4">
        <v>1020</v>
      </c>
      <c r="Y87" s="4">
        <v>2.4</v>
      </c>
      <c r="AA87">
        <f t="shared" si="8"/>
        <v>0.60770657117588411</v>
      </c>
      <c r="AB87">
        <f t="shared" si="7"/>
        <v>54.646002137836206</v>
      </c>
      <c r="AC87">
        <f t="shared" si="9"/>
        <v>0.41176470588235292</v>
      </c>
      <c r="AD87">
        <f t="shared" si="10"/>
        <v>2.9999999999996696E-4</v>
      </c>
      <c r="AI87" s="94">
        <f t="shared" si="11"/>
        <v>0.27499999999999997</v>
      </c>
    </row>
    <row r="88" spans="1:35">
      <c r="A88" s="4">
        <v>83</v>
      </c>
      <c r="B88" s="7"/>
      <c r="C88" s="4">
        <v>26</v>
      </c>
      <c r="D88" s="4">
        <v>9.1999999999999993</v>
      </c>
      <c r="E88" s="4">
        <v>9</v>
      </c>
      <c r="F88" s="4" t="s">
        <v>1518</v>
      </c>
      <c r="G88" s="4" t="s">
        <v>1527</v>
      </c>
      <c r="H88" s="4">
        <v>8.1</v>
      </c>
      <c r="I88" s="4">
        <v>4.4000000000000004</v>
      </c>
      <c r="J88" s="4">
        <v>12.5</v>
      </c>
      <c r="K88" s="4">
        <v>32</v>
      </c>
      <c r="L88" s="4">
        <v>11</v>
      </c>
      <c r="M88" s="4">
        <v>145</v>
      </c>
      <c r="N88" s="4">
        <v>132</v>
      </c>
      <c r="O88" s="4">
        <v>1.4</v>
      </c>
      <c r="P88" s="4">
        <v>53000</v>
      </c>
      <c r="Q88" s="4">
        <v>1.0900000000000001</v>
      </c>
      <c r="R88" s="4">
        <v>5.8</v>
      </c>
      <c r="S88" s="9">
        <v>8</v>
      </c>
      <c r="T88" s="4">
        <v>1.7</v>
      </c>
      <c r="U88" s="4">
        <v>443</v>
      </c>
      <c r="V88" s="4">
        <v>0.8</v>
      </c>
      <c r="W88" s="4">
        <v>0.62</v>
      </c>
      <c r="X88" s="4">
        <v>820</v>
      </c>
      <c r="Y88" s="4">
        <v>0.7</v>
      </c>
      <c r="AA88">
        <f t="shared" si="8"/>
        <v>1.5846709849226046</v>
      </c>
      <c r="AB88">
        <f t="shared" si="7"/>
        <v>54.98710440184869</v>
      </c>
      <c r="AC88">
        <f t="shared" si="9"/>
        <v>0.44285714285714289</v>
      </c>
      <c r="AD88">
        <f t="shared" si="10"/>
        <v>3.8400000000000212E-2</v>
      </c>
      <c r="AI88" s="94">
        <f t="shared" si="11"/>
        <v>0.35384615384615381</v>
      </c>
    </row>
    <row r="89" spans="1:35">
      <c r="A89" s="4">
        <v>84</v>
      </c>
      <c r="B89" s="4" t="s">
        <v>1393</v>
      </c>
      <c r="C89" s="4">
        <v>22</v>
      </c>
      <c r="D89" s="4">
        <v>10.8</v>
      </c>
      <c r="E89" s="4">
        <v>9.8000000000000007</v>
      </c>
      <c r="F89" s="4" t="s">
        <v>1469</v>
      </c>
      <c r="G89" s="4" t="s">
        <v>1526</v>
      </c>
      <c r="H89" s="4">
        <v>6</v>
      </c>
      <c r="I89" s="4">
        <v>11.44</v>
      </c>
      <c r="J89" s="4">
        <v>17.440000000000001</v>
      </c>
      <c r="K89" s="4">
        <v>35</v>
      </c>
      <c r="L89" s="4">
        <v>23</v>
      </c>
      <c r="M89" s="4">
        <v>139</v>
      </c>
      <c r="N89" s="4">
        <v>109</v>
      </c>
      <c r="O89" s="4">
        <v>4.05</v>
      </c>
      <c r="P89" s="4">
        <v>52000</v>
      </c>
      <c r="Q89" s="4">
        <v>1.1299999999999999</v>
      </c>
      <c r="R89" s="4">
        <v>5.9</v>
      </c>
      <c r="S89" s="4">
        <v>24</v>
      </c>
      <c r="T89" s="4">
        <v>2.8</v>
      </c>
      <c r="U89" s="4">
        <v>428</v>
      </c>
      <c r="V89" s="4">
        <v>1.2</v>
      </c>
      <c r="W89" s="4">
        <v>1.94</v>
      </c>
      <c r="X89" s="4">
        <v>1450</v>
      </c>
      <c r="Y89" s="4">
        <v>1.4</v>
      </c>
      <c r="AA89">
        <f t="shared" si="8"/>
        <v>4.2316911372411061</v>
      </c>
      <c r="AB89">
        <f t="shared" si="7"/>
        <v>31.006063591079254</v>
      </c>
      <c r="AC89">
        <f t="shared" si="9"/>
        <v>0.47901234567901235</v>
      </c>
      <c r="AD89">
        <f t="shared" si="10"/>
        <v>4.5999999999999375E-3</v>
      </c>
      <c r="AI89" s="94">
        <f t="shared" si="11"/>
        <v>0.49090909090909096</v>
      </c>
    </row>
    <row r="90" spans="1:35">
      <c r="A90" s="4">
        <v>85</v>
      </c>
      <c r="B90" s="7"/>
      <c r="C90" s="4">
        <v>25</v>
      </c>
      <c r="D90" s="4">
        <v>12.2</v>
      </c>
      <c r="E90" s="4">
        <v>10.4</v>
      </c>
      <c r="F90" s="4" t="s">
        <v>1519</v>
      </c>
      <c r="G90" s="4" t="s">
        <v>1525</v>
      </c>
      <c r="H90" s="4">
        <v>6.4</v>
      </c>
      <c r="I90" s="4">
        <v>18.05</v>
      </c>
      <c r="J90" s="4">
        <v>24.45</v>
      </c>
      <c r="K90" s="4">
        <v>32</v>
      </c>
      <c r="L90" s="4">
        <v>24</v>
      </c>
      <c r="M90" s="4">
        <v>149</v>
      </c>
      <c r="N90" s="4">
        <v>106</v>
      </c>
      <c r="O90" s="4">
        <v>5.75</v>
      </c>
      <c r="P90" s="4">
        <v>25500</v>
      </c>
      <c r="Q90" s="4">
        <v>2.1</v>
      </c>
      <c r="R90" s="4">
        <v>5.4</v>
      </c>
      <c r="S90" s="4">
        <v>31</v>
      </c>
      <c r="T90" s="4">
        <v>4.7</v>
      </c>
      <c r="U90" s="4">
        <v>382</v>
      </c>
      <c r="V90" s="4">
        <v>1.8</v>
      </c>
      <c r="W90" s="4">
        <v>2.79</v>
      </c>
      <c r="X90" s="4">
        <v>1220</v>
      </c>
      <c r="Y90" s="4">
        <v>1.7</v>
      </c>
      <c r="AA90">
        <f t="shared" si="8"/>
        <v>5.7188410615766854</v>
      </c>
      <c r="AB90">
        <f t="shared" si="7"/>
        <v>21.913249006780497</v>
      </c>
      <c r="AC90">
        <f t="shared" si="9"/>
        <v>0.48521739130434782</v>
      </c>
      <c r="AD90">
        <f t="shared" si="10"/>
        <v>-2.6000000000001577E-3</v>
      </c>
      <c r="AI90" s="94">
        <f t="shared" si="11"/>
        <v>0.48799999999999999</v>
      </c>
    </row>
    <row r="91" spans="1:35">
      <c r="A91" s="4">
        <v>86</v>
      </c>
      <c r="B91" s="7"/>
      <c r="C91" s="4">
        <v>27</v>
      </c>
      <c r="D91" s="4">
        <v>15.8</v>
      </c>
      <c r="E91" s="4">
        <v>10.199999999999999</v>
      </c>
      <c r="F91" s="4" t="s">
        <v>1519</v>
      </c>
      <c r="G91" s="4" t="s">
        <v>1525</v>
      </c>
      <c r="H91" s="4">
        <v>4.2</v>
      </c>
      <c r="I91" s="4">
        <v>29.93</v>
      </c>
      <c r="J91" s="4">
        <v>34.130000000000003</v>
      </c>
      <c r="K91" s="4">
        <v>30</v>
      </c>
      <c r="L91" s="4">
        <v>26</v>
      </c>
      <c r="M91" s="4">
        <v>135</v>
      </c>
      <c r="N91" s="4">
        <v>101</v>
      </c>
      <c r="O91" s="4">
        <v>8.93</v>
      </c>
      <c r="P91" s="4">
        <v>40800</v>
      </c>
      <c r="Q91" s="4">
        <v>1.32</v>
      </c>
      <c r="R91" s="4">
        <v>5.4</v>
      </c>
      <c r="S91" s="4">
        <v>45</v>
      </c>
      <c r="T91" s="4">
        <v>5.8</v>
      </c>
      <c r="U91" s="4">
        <v>407</v>
      </c>
      <c r="V91" s="4">
        <v>2.4</v>
      </c>
      <c r="W91" s="4">
        <v>4.4400000000000004</v>
      </c>
      <c r="X91" s="4">
        <v>1540</v>
      </c>
      <c r="Y91" s="4">
        <v>1.3</v>
      </c>
      <c r="AA91">
        <f t="shared" si="8"/>
        <v>8.2938011456090166</v>
      </c>
      <c r="AB91">
        <f t="shared" si="7"/>
        <v>3.633594072481495</v>
      </c>
      <c r="AC91">
        <f t="shared" si="9"/>
        <v>0.49720044792833151</v>
      </c>
      <c r="AD91">
        <f t="shared" si="10"/>
        <v>-5.5999999999993832E-3</v>
      </c>
      <c r="AI91" s="94">
        <f t="shared" si="11"/>
        <v>0.58518518518518525</v>
      </c>
    </row>
    <row r="92" spans="1:35">
      <c r="A92" s="4">
        <v>87</v>
      </c>
      <c r="B92" s="4" t="s">
        <v>1385</v>
      </c>
      <c r="C92" s="4">
        <v>28</v>
      </c>
      <c r="D92" s="4">
        <v>6</v>
      </c>
      <c r="E92" s="4">
        <v>8.4</v>
      </c>
      <c r="F92" s="4" t="s">
        <v>1518</v>
      </c>
      <c r="G92" s="4" t="s">
        <v>1526</v>
      </c>
      <c r="H92" s="4">
        <v>13.2</v>
      </c>
      <c r="I92" s="4">
        <v>1.9</v>
      </c>
      <c r="J92" s="4">
        <v>15.1</v>
      </c>
      <c r="K92" s="4">
        <v>31</v>
      </c>
      <c r="L92" s="4">
        <v>4</v>
      </c>
      <c r="M92" s="4">
        <v>121</v>
      </c>
      <c r="N92" s="4">
        <v>162</v>
      </c>
      <c r="O92" s="4">
        <v>0.55000000000000004</v>
      </c>
      <c r="P92" s="4">
        <v>80000</v>
      </c>
      <c r="Q92" s="4">
        <v>0.81</v>
      </c>
      <c r="R92" s="4">
        <v>6.5</v>
      </c>
      <c r="S92" s="4">
        <v>4</v>
      </c>
      <c r="T92" s="4">
        <v>0.8</v>
      </c>
      <c r="U92" s="4">
        <v>423</v>
      </c>
      <c r="V92" s="4">
        <v>0.3</v>
      </c>
      <c r="W92" s="4">
        <v>0.21</v>
      </c>
      <c r="X92" s="4">
        <v>690</v>
      </c>
      <c r="Y92" s="4">
        <v>1.4</v>
      </c>
      <c r="AA92">
        <f t="shared" si="8"/>
        <v>0.60770657117588411</v>
      </c>
      <c r="AB92">
        <f t="shared" si="7"/>
        <v>60.719836880895507</v>
      </c>
      <c r="AC92">
        <f t="shared" si="9"/>
        <v>0.38181818181818178</v>
      </c>
      <c r="AD92">
        <f t="shared" si="10"/>
        <v>1.9999999999997797E-4</v>
      </c>
      <c r="AI92" s="94">
        <f t="shared" si="11"/>
        <v>0.21428571428571427</v>
      </c>
    </row>
    <row r="93" spans="1:35">
      <c r="A93" s="4">
        <v>88</v>
      </c>
      <c r="B93" s="4" t="s">
        <v>1386</v>
      </c>
      <c r="C93" s="4">
        <v>28</v>
      </c>
      <c r="D93" s="4">
        <v>9.8000000000000007</v>
      </c>
      <c r="E93" s="4">
        <v>10.199999999999999</v>
      </c>
      <c r="F93" s="4" t="s">
        <v>1469</v>
      </c>
      <c r="G93" s="4" t="s">
        <v>1526</v>
      </c>
      <c r="H93" s="4">
        <v>9</v>
      </c>
      <c r="I93" s="4">
        <v>7.64</v>
      </c>
      <c r="J93" s="4">
        <v>16.64</v>
      </c>
      <c r="K93" s="4">
        <v>26</v>
      </c>
      <c r="L93" s="4">
        <v>12</v>
      </c>
      <c r="M93" s="4">
        <v>165</v>
      </c>
      <c r="N93" s="4">
        <v>167</v>
      </c>
      <c r="O93" s="4">
        <v>2</v>
      </c>
      <c r="P93" s="4">
        <v>50400</v>
      </c>
      <c r="Q93" s="4">
        <v>1.24</v>
      </c>
      <c r="R93" s="4">
        <v>6.3</v>
      </c>
      <c r="S93" s="4">
        <v>13</v>
      </c>
      <c r="T93" s="4">
        <v>2.5</v>
      </c>
      <c r="U93" s="4">
        <v>412</v>
      </c>
      <c r="V93" s="4">
        <v>1</v>
      </c>
      <c r="W93" s="4">
        <v>0.75</v>
      </c>
      <c r="X93" s="4">
        <v>800</v>
      </c>
      <c r="Y93" s="4">
        <v>1.3</v>
      </c>
      <c r="AA93">
        <f t="shared" si="8"/>
        <v>1.8719269364257176</v>
      </c>
      <c r="AB93">
        <f t="shared" si="7"/>
        <v>69.356800952231524</v>
      </c>
      <c r="AC93">
        <f t="shared" si="9"/>
        <v>0.375</v>
      </c>
      <c r="AD93">
        <f t="shared" si="10"/>
        <v>2.4999999999999467E-3</v>
      </c>
      <c r="AI93" s="94">
        <f t="shared" si="11"/>
        <v>0.35000000000000003</v>
      </c>
    </row>
    <row r="94" spans="1:35">
      <c r="A94" s="4">
        <v>89</v>
      </c>
      <c r="B94" s="4" t="s">
        <v>1394</v>
      </c>
      <c r="C94" s="4">
        <v>28</v>
      </c>
      <c r="D94" s="4">
        <v>10</v>
      </c>
      <c r="E94" s="4">
        <v>11.2</v>
      </c>
      <c r="F94" s="4" t="s">
        <v>1469</v>
      </c>
      <c r="G94" s="4" t="s">
        <v>1529</v>
      </c>
      <c r="H94" s="4">
        <v>7.7</v>
      </c>
      <c r="I94" s="4">
        <v>8.25</v>
      </c>
      <c r="J94" s="4">
        <v>15.95</v>
      </c>
      <c r="K94" s="4">
        <v>32</v>
      </c>
      <c r="L94" s="4">
        <v>17</v>
      </c>
      <c r="M94" s="4">
        <v>156</v>
      </c>
      <c r="N94" s="4">
        <v>159</v>
      </c>
      <c r="O94" s="4">
        <v>2.67</v>
      </c>
      <c r="P94" s="4">
        <v>44400</v>
      </c>
      <c r="Q94" s="4">
        <v>1.42</v>
      </c>
      <c r="R94" s="4">
        <v>6.3</v>
      </c>
      <c r="S94" s="4">
        <v>17</v>
      </c>
      <c r="T94" s="4">
        <v>2.9</v>
      </c>
      <c r="U94" s="4">
        <v>402</v>
      </c>
      <c r="V94" s="4">
        <v>1.2</v>
      </c>
      <c r="W94" s="4">
        <v>1.03</v>
      </c>
      <c r="X94" s="4">
        <v>920</v>
      </c>
      <c r="Y94" s="4">
        <v>1.2</v>
      </c>
      <c r="AA94">
        <f t="shared" si="8"/>
        <v>2.4660965519828162</v>
      </c>
      <c r="AB94">
        <f t="shared" si="7"/>
        <v>76.281069439286455</v>
      </c>
      <c r="AC94">
        <f t="shared" si="9"/>
        <v>0.38576779026217228</v>
      </c>
      <c r="AD94">
        <f t="shared" si="10"/>
        <v>-2.2999999999999687E-3</v>
      </c>
      <c r="AI94" s="94">
        <f t="shared" si="11"/>
        <v>0.35714285714285715</v>
      </c>
    </row>
    <row r="95" spans="1:35">
      <c r="A95" s="4">
        <v>90</v>
      </c>
      <c r="B95" s="4" t="s">
        <v>1484</v>
      </c>
      <c r="C95" s="4">
        <v>28</v>
      </c>
      <c r="D95" s="4">
        <v>8.4</v>
      </c>
      <c r="E95" s="4">
        <v>11.8</v>
      </c>
      <c r="F95" s="4" t="s">
        <v>1518</v>
      </c>
      <c r="G95" s="4" t="s">
        <v>1525</v>
      </c>
      <c r="H95" s="4">
        <v>9.5</v>
      </c>
      <c r="I95" s="4">
        <v>3.67</v>
      </c>
      <c r="J95" s="4">
        <v>13.17</v>
      </c>
      <c r="K95" s="4">
        <v>39</v>
      </c>
      <c r="L95" s="4">
        <v>11</v>
      </c>
      <c r="M95" s="4">
        <v>155</v>
      </c>
      <c r="N95" s="4">
        <v>157</v>
      </c>
      <c r="O95" s="4">
        <v>1.44</v>
      </c>
      <c r="P95" s="4">
        <v>35200</v>
      </c>
      <c r="Q95" s="4">
        <v>1.77</v>
      </c>
      <c r="R95" s="4">
        <v>6.2</v>
      </c>
      <c r="S95" s="4">
        <v>9</v>
      </c>
      <c r="T95" s="4">
        <v>1.9</v>
      </c>
      <c r="U95" s="4">
        <v>390</v>
      </c>
      <c r="V95" s="4">
        <v>0.7</v>
      </c>
      <c r="W95" s="4">
        <v>0.56000000000000005</v>
      </c>
      <c r="X95" s="4">
        <v>760</v>
      </c>
      <c r="Y95" s="4">
        <v>1.2</v>
      </c>
      <c r="AA95">
        <f t="shared" si="8"/>
        <v>1.4491747372556552</v>
      </c>
      <c r="AB95">
        <f t="shared" si="7"/>
        <v>107.13958361986656</v>
      </c>
      <c r="AC95">
        <f t="shared" si="9"/>
        <v>0.38888888888888895</v>
      </c>
      <c r="AD95">
        <f t="shared" si="10"/>
        <v>-7.9999999999968985E-4</v>
      </c>
      <c r="AI95" s="94">
        <f t="shared" si="11"/>
        <v>0.3</v>
      </c>
    </row>
    <row r="96" spans="1:35">
      <c r="A96" s="4">
        <v>91</v>
      </c>
      <c r="B96" s="4" t="s">
        <v>1395</v>
      </c>
      <c r="C96" s="4">
        <v>28</v>
      </c>
      <c r="D96" s="4">
        <v>12.4</v>
      </c>
      <c r="E96" s="4">
        <v>13.6</v>
      </c>
      <c r="F96" s="4" t="s">
        <v>1469</v>
      </c>
      <c r="G96" s="4" t="s">
        <v>1529</v>
      </c>
      <c r="H96" s="4">
        <v>8</v>
      </c>
      <c r="I96" s="4">
        <v>14.71</v>
      </c>
      <c r="J96" s="4">
        <v>22.71</v>
      </c>
      <c r="K96" s="4">
        <v>27</v>
      </c>
      <c r="L96" s="4">
        <v>17</v>
      </c>
      <c r="M96" s="4">
        <v>156</v>
      </c>
      <c r="N96" s="4">
        <v>157</v>
      </c>
      <c r="O96" s="4">
        <v>3.91</v>
      </c>
      <c r="P96" s="4">
        <v>35100</v>
      </c>
      <c r="Q96" s="4">
        <v>1.59</v>
      </c>
      <c r="R96" s="4">
        <v>5.6</v>
      </c>
      <c r="S96" s="4">
        <v>22</v>
      </c>
      <c r="T96" s="4">
        <v>5.3</v>
      </c>
      <c r="U96" s="4">
        <v>393</v>
      </c>
      <c r="V96" s="4">
        <v>2.1</v>
      </c>
      <c r="W96" s="4">
        <v>1.52</v>
      </c>
      <c r="X96" s="4">
        <v>740</v>
      </c>
      <c r="Y96" s="4">
        <v>1.4</v>
      </c>
      <c r="AA96">
        <f t="shared" si="8"/>
        <v>3.4434013900676455</v>
      </c>
      <c r="AB96">
        <f t="shared" si="7"/>
        <v>103.15649532327983</v>
      </c>
      <c r="AC96">
        <f t="shared" si="9"/>
        <v>0.38874680306905368</v>
      </c>
      <c r="AD96">
        <f t="shared" si="10"/>
        <v>-3.5999999999996035E-3</v>
      </c>
      <c r="AI96" s="94">
        <f t="shared" si="11"/>
        <v>0.44285714285714289</v>
      </c>
    </row>
    <row r="97" spans="1:35">
      <c r="A97" s="4">
        <v>92</v>
      </c>
      <c r="B97" s="4" t="s">
        <v>1395</v>
      </c>
      <c r="C97" s="4">
        <v>28</v>
      </c>
      <c r="D97" s="4">
        <v>13.8</v>
      </c>
      <c r="E97" s="4">
        <v>14.2</v>
      </c>
      <c r="F97" s="4" t="s">
        <v>1469</v>
      </c>
      <c r="G97" s="4" t="s">
        <v>1524</v>
      </c>
      <c r="H97" s="4">
        <v>7.6</v>
      </c>
      <c r="I97" s="4">
        <v>12.85</v>
      </c>
      <c r="J97" s="4">
        <v>20.45</v>
      </c>
      <c r="K97" s="4">
        <v>44</v>
      </c>
      <c r="L97" s="4">
        <v>28</v>
      </c>
      <c r="M97" s="4">
        <v>175</v>
      </c>
      <c r="N97" s="4">
        <v>164</v>
      </c>
      <c r="O97" s="4">
        <v>5.67</v>
      </c>
      <c r="P97" s="4">
        <v>23400</v>
      </c>
      <c r="Q97" s="4">
        <v>2.25</v>
      </c>
      <c r="R97" s="4">
        <v>5.3</v>
      </c>
      <c r="S97" s="4">
        <v>30</v>
      </c>
      <c r="T97" s="4">
        <v>8.9</v>
      </c>
      <c r="U97" s="4">
        <v>370</v>
      </c>
      <c r="V97" s="4">
        <v>3.3</v>
      </c>
      <c r="W97" s="4">
        <v>2.15</v>
      </c>
      <c r="X97" s="4">
        <v>640</v>
      </c>
      <c r="Y97" s="4">
        <v>1.5</v>
      </c>
      <c r="AA97">
        <f t="shared" si="8"/>
        <v>4.6115461121814585</v>
      </c>
      <c r="AB97">
        <f t="shared" si="7"/>
        <v>91.938447958822508</v>
      </c>
      <c r="AC97">
        <f t="shared" si="9"/>
        <v>0.37918871252204583</v>
      </c>
      <c r="AD97">
        <f t="shared" si="10"/>
        <v>5.9999999999993392E-3</v>
      </c>
      <c r="AI97" s="94">
        <f t="shared" si="11"/>
        <v>0.49285714285714288</v>
      </c>
    </row>
    <row r="98" spans="1:35">
      <c r="A98" s="4">
        <v>93</v>
      </c>
      <c r="B98" s="4" t="s">
        <v>1396</v>
      </c>
      <c r="C98" s="4">
        <v>28</v>
      </c>
      <c r="D98" s="4">
        <v>11.2</v>
      </c>
      <c r="E98" s="4">
        <v>13.4</v>
      </c>
      <c r="F98" s="4" t="s">
        <v>1518</v>
      </c>
      <c r="G98" s="4" t="s">
        <v>1527</v>
      </c>
      <c r="H98" s="4">
        <v>11.3</v>
      </c>
      <c r="I98" s="4">
        <v>7.63</v>
      </c>
      <c r="J98" s="4">
        <v>18.93</v>
      </c>
      <c r="K98" s="4">
        <v>23</v>
      </c>
      <c r="L98" s="4">
        <v>9</v>
      </c>
      <c r="M98" s="4">
        <v>166</v>
      </c>
      <c r="N98" s="4">
        <v>170</v>
      </c>
      <c r="O98" s="4">
        <v>1.73</v>
      </c>
      <c r="P98" s="4">
        <v>42200</v>
      </c>
      <c r="Q98" s="4">
        <v>1.46</v>
      </c>
      <c r="R98" s="4">
        <v>6.2</v>
      </c>
      <c r="S98" s="4">
        <v>11</v>
      </c>
      <c r="T98" s="4">
        <v>2.6</v>
      </c>
      <c r="U98" s="4">
        <v>372</v>
      </c>
      <c r="V98" s="4">
        <v>1</v>
      </c>
      <c r="W98" s="4">
        <v>0.64</v>
      </c>
      <c r="X98" s="4">
        <v>670</v>
      </c>
      <c r="Y98" s="4">
        <v>1.6</v>
      </c>
      <c r="AA98">
        <f t="shared" si="8"/>
        <v>1.6294067180867864</v>
      </c>
      <c r="AB98">
        <f t="shared" si="7"/>
        <v>138.54686620822051</v>
      </c>
      <c r="AC98">
        <f t="shared" si="9"/>
        <v>0.36994219653179194</v>
      </c>
      <c r="AD98">
        <f t="shared" si="10"/>
        <v>-1.9999999999997797E-3</v>
      </c>
      <c r="AI98" s="94">
        <f t="shared" si="11"/>
        <v>0.39999999999999997</v>
      </c>
    </row>
    <row r="99" spans="1:35">
      <c r="A99" s="4">
        <v>94</v>
      </c>
      <c r="B99" s="4" t="s">
        <v>1369</v>
      </c>
      <c r="C99" s="4">
        <v>28</v>
      </c>
      <c r="D99" s="4">
        <v>12.6</v>
      </c>
      <c r="E99" s="4">
        <v>15</v>
      </c>
      <c r="F99" s="4" t="s">
        <v>1469</v>
      </c>
      <c r="G99" s="4" t="s">
        <v>1526</v>
      </c>
      <c r="H99" s="4">
        <v>8.4</v>
      </c>
      <c r="I99" s="4">
        <v>14.89</v>
      </c>
      <c r="J99" s="4">
        <v>23.29</v>
      </c>
      <c r="K99" s="4">
        <v>27</v>
      </c>
      <c r="L99" s="4">
        <v>17</v>
      </c>
      <c r="M99" s="4">
        <v>160</v>
      </c>
      <c r="N99" s="4">
        <v>163</v>
      </c>
      <c r="O99" s="4">
        <v>3.95</v>
      </c>
      <c r="P99" s="4">
        <v>34800</v>
      </c>
      <c r="Q99" s="9">
        <v>1.83</v>
      </c>
      <c r="R99" s="4">
        <v>6.4</v>
      </c>
      <c r="S99" s="4">
        <v>25</v>
      </c>
      <c r="T99" s="4">
        <v>6.8</v>
      </c>
      <c r="U99" s="4">
        <v>410</v>
      </c>
      <c r="V99" s="4">
        <v>2.8</v>
      </c>
      <c r="W99" s="4">
        <v>1.5</v>
      </c>
      <c r="X99" s="4">
        <v>580</v>
      </c>
      <c r="Y99" s="4">
        <v>1.9</v>
      </c>
      <c r="AA99">
        <f t="shared" si="8"/>
        <v>3.4048201998037113</v>
      </c>
      <c r="AB99">
        <f t="shared" si="7"/>
        <v>134.44819459888004</v>
      </c>
      <c r="AC99">
        <f t="shared" si="9"/>
        <v>0.37974683544303794</v>
      </c>
      <c r="AD99">
        <f t="shared" si="10"/>
        <v>-5.0000000000003375E-3</v>
      </c>
      <c r="AI99" s="94">
        <f t="shared" si="11"/>
        <v>0.45</v>
      </c>
    </row>
    <row r="100" spans="1:35">
      <c r="A100" s="4">
        <v>95</v>
      </c>
      <c r="B100" s="4" t="s">
        <v>1369</v>
      </c>
      <c r="C100" s="4">
        <v>28</v>
      </c>
      <c r="D100" s="4">
        <v>15.6</v>
      </c>
      <c r="E100" s="4">
        <v>14.6</v>
      </c>
      <c r="F100" s="4" t="s">
        <v>1519</v>
      </c>
      <c r="G100" s="4" t="s">
        <v>1527</v>
      </c>
      <c r="H100" s="4">
        <v>7.8</v>
      </c>
      <c r="I100" s="4">
        <v>19.29</v>
      </c>
      <c r="J100" s="4">
        <v>27.09</v>
      </c>
      <c r="K100" s="4">
        <v>36</v>
      </c>
      <c r="L100" s="4">
        <v>26</v>
      </c>
      <c r="M100" s="4">
        <v>176</v>
      </c>
      <c r="N100" s="4">
        <v>169</v>
      </c>
      <c r="O100" s="4">
        <v>6.94</v>
      </c>
      <c r="P100" s="4">
        <v>28400</v>
      </c>
      <c r="Q100" s="4">
        <v>2.11</v>
      </c>
      <c r="R100" s="4">
        <v>6</v>
      </c>
      <c r="S100" s="4">
        <v>42</v>
      </c>
      <c r="T100" s="4">
        <v>9.1999999999999993</v>
      </c>
      <c r="U100" s="4">
        <v>375</v>
      </c>
      <c r="V100" s="4">
        <v>3.5</v>
      </c>
      <c r="W100" s="4">
        <v>2.58</v>
      </c>
      <c r="X100" s="4">
        <v>750</v>
      </c>
      <c r="Y100" s="4">
        <v>1.4</v>
      </c>
      <c r="AA100">
        <f t="shared" si="8"/>
        <v>5.3633089193730177</v>
      </c>
      <c r="AB100">
        <f t="shared" si="7"/>
        <v>85.316462118934055</v>
      </c>
      <c r="AC100">
        <f t="shared" si="9"/>
        <v>0.37175792507204608</v>
      </c>
      <c r="AD100">
        <f t="shared" si="10"/>
        <v>1.9999999999953388E-4</v>
      </c>
      <c r="AI100" s="94">
        <f t="shared" si="11"/>
        <v>0.55714285714285716</v>
      </c>
    </row>
    <row r="101" spans="1:35">
      <c r="A101" s="4">
        <v>96</v>
      </c>
      <c r="B101" s="6" t="s">
        <v>1397</v>
      </c>
      <c r="C101" s="4">
        <v>32</v>
      </c>
      <c r="D101" s="4">
        <v>9</v>
      </c>
      <c r="E101" s="4">
        <v>9</v>
      </c>
      <c r="F101" s="4" t="s">
        <v>1518</v>
      </c>
      <c r="G101" s="4" t="s">
        <v>1527</v>
      </c>
      <c r="H101" s="4">
        <v>7.8</v>
      </c>
      <c r="I101" s="4">
        <v>9</v>
      </c>
      <c r="J101" s="4">
        <v>16.8</v>
      </c>
      <c r="K101" s="4">
        <v>40</v>
      </c>
      <c r="L101" s="4">
        <v>21</v>
      </c>
      <c r="M101" s="4">
        <v>163</v>
      </c>
      <c r="N101" s="4">
        <v>157</v>
      </c>
      <c r="O101" s="4">
        <v>3.6</v>
      </c>
      <c r="P101" s="4">
        <v>60000</v>
      </c>
      <c r="Q101" s="4">
        <v>1.1100000000000001</v>
      </c>
      <c r="R101" s="4">
        <v>6.7</v>
      </c>
      <c r="S101" s="4">
        <v>24</v>
      </c>
      <c r="T101" s="4">
        <v>2</v>
      </c>
      <c r="U101" s="4">
        <v>378</v>
      </c>
      <c r="V101" s="4">
        <v>0.8</v>
      </c>
      <c r="W101" s="4">
        <v>1.4</v>
      </c>
      <c r="X101" s="4">
        <v>1800</v>
      </c>
      <c r="Y101" s="4">
        <v>0.6</v>
      </c>
      <c r="AA101">
        <f t="shared" si="8"/>
        <v>3.2103621121933634</v>
      </c>
      <c r="AB101">
        <f t="shared" si="7"/>
        <v>33.519906871926089</v>
      </c>
      <c r="AC101">
        <f t="shared" si="9"/>
        <v>0.38888888888888884</v>
      </c>
      <c r="AD101">
        <f t="shared" si="10"/>
        <v>-1.9999999999997797E-3</v>
      </c>
      <c r="AI101" s="94">
        <f t="shared" si="11"/>
        <v>0.28125</v>
      </c>
    </row>
    <row r="102" spans="1:35">
      <c r="A102" s="4">
        <v>97</v>
      </c>
      <c r="B102" s="4" t="s">
        <v>1398</v>
      </c>
      <c r="C102" s="4">
        <v>32</v>
      </c>
      <c r="D102" s="4">
        <v>13</v>
      </c>
      <c r="E102" s="4">
        <v>10</v>
      </c>
      <c r="F102" s="4" t="s">
        <v>1469</v>
      </c>
      <c r="G102" s="4" t="s">
        <v>1528</v>
      </c>
      <c r="H102" s="4">
        <v>5.2</v>
      </c>
      <c r="I102" s="4">
        <v>26.5</v>
      </c>
      <c r="J102" s="4">
        <v>31.7</v>
      </c>
      <c r="K102" s="4">
        <v>33</v>
      </c>
      <c r="L102" s="4">
        <v>28</v>
      </c>
      <c r="M102" s="4">
        <v>150</v>
      </c>
      <c r="N102" s="4">
        <v>175</v>
      </c>
      <c r="O102" s="4">
        <v>8.8000000000000007</v>
      </c>
      <c r="P102" s="4">
        <v>30000</v>
      </c>
      <c r="Q102" s="4">
        <v>1.54</v>
      </c>
      <c r="R102" s="4">
        <v>4.5999999999999996</v>
      </c>
      <c r="S102" s="4">
        <v>40</v>
      </c>
      <c r="T102" s="4">
        <v>5.5</v>
      </c>
      <c r="U102" s="4">
        <v>397</v>
      </c>
      <c r="V102" s="4">
        <v>2.2000000000000002</v>
      </c>
      <c r="W102" s="4">
        <v>3.2</v>
      </c>
      <c r="X102" s="4">
        <v>1600</v>
      </c>
      <c r="Y102" s="4">
        <v>0.7</v>
      </c>
      <c r="AA102">
        <f t="shared" si="8"/>
        <v>6.3930966701671688</v>
      </c>
      <c r="AB102">
        <f t="shared" si="7"/>
        <v>13.009751630759165</v>
      </c>
      <c r="AC102">
        <f t="shared" si="9"/>
        <v>0.36363636363636365</v>
      </c>
      <c r="AD102">
        <f t="shared" si="10"/>
        <v>0</v>
      </c>
      <c r="AI102" s="94">
        <f t="shared" si="11"/>
        <v>0.40625</v>
      </c>
    </row>
    <row r="103" spans="1:35">
      <c r="A103" s="4">
        <v>98</v>
      </c>
      <c r="B103" s="4" t="s">
        <v>1399</v>
      </c>
      <c r="C103" s="4">
        <v>32</v>
      </c>
      <c r="D103" s="4">
        <v>15</v>
      </c>
      <c r="E103" s="4">
        <v>11</v>
      </c>
      <c r="F103" s="4" t="s">
        <v>1519</v>
      </c>
      <c r="G103" s="4" t="s">
        <v>1528</v>
      </c>
      <c r="H103" s="4">
        <v>4.7</v>
      </c>
      <c r="I103" s="4">
        <v>21</v>
      </c>
      <c r="J103" s="4">
        <v>25.7</v>
      </c>
      <c r="K103" s="4">
        <v>45</v>
      </c>
      <c r="L103" s="4">
        <v>37</v>
      </c>
      <c r="M103" s="4">
        <v>153</v>
      </c>
      <c r="N103" s="4">
        <v>161</v>
      </c>
      <c r="O103" s="4">
        <v>9.4</v>
      </c>
      <c r="P103" s="4">
        <v>34300</v>
      </c>
      <c r="Q103" s="4">
        <v>1.3</v>
      </c>
      <c r="R103" s="4">
        <v>4.5</v>
      </c>
      <c r="S103" s="4">
        <v>42</v>
      </c>
      <c r="T103" s="4">
        <v>5.4</v>
      </c>
      <c r="U103" s="4">
        <v>402</v>
      </c>
      <c r="V103" s="4">
        <v>2.2000000000000002</v>
      </c>
      <c r="W103" s="4">
        <v>3.6</v>
      </c>
      <c r="X103" s="4">
        <v>1740</v>
      </c>
      <c r="Y103" s="4">
        <v>0.6</v>
      </c>
      <c r="AA103">
        <f t="shared" si="8"/>
        <v>7.0276310766892038</v>
      </c>
      <c r="AB103">
        <f t="shared" si="7"/>
        <v>15.779714862885374</v>
      </c>
      <c r="AC103">
        <f t="shared" si="9"/>
        <v>0.38297872340425532</v>
      </c>
      <c r="AD103">
        <f t="shared" si="10"/>
        <v>-3.9999999999995595E-3</v>
      </c>
      <c r="AI103" s="94">
        <f t="shared" si="11"/>
        <v>0.46875</v>
      </c>
    </row>
    <row r="104" spans="1:35">
      <c r="A104" s="4">
        <v>99</v>
      </c>
      <c r="B104" s="4" t="s">
        <v>1367</v>
      </c>
      <c r="C104" s="4">
        <v>32</v>
      </c>
      <c r="D104" s="4">
        <v>18</v>
      </c>
      <c r="E104" s="4">
        <v>10</v>
      </c>
      <c r="F104" s="4" t="s">
        <v>1519</v>
      </c>
      <c r="G104" s="4" t="s">
        <v>1526</v>
      </c>
      <c r="H104" s="4">
        <v>3.4</v>
      </c>
      <c r="I104" s="4">
        <v>68.400000000000006</v>
      </c>
      <c r="J104" s="4">
        <v>71.8</v>
      </c>
      <c r="K104" s="4">
        <v>25</v>
      </c>
      <c r="L104" s="4">
        <v>24</v>
      </c>
      <c r="M104" s="4">
        <v>142</v>
      </c>
      <c r="N104" s="4">
        <v>162</v>
      </c>
      <c r="O104" s="4">
        <v>17.3</v>
      </c>
      <c r="P104" s="4">
        <v>36900</v>
      </c>
      <c r="Q104" s="4">
        <v>1.27</v>
      </c>
      <c r="R104" s="4">
        <v>4.7</v>
      </c>
      <c r="S104" s="4">
        <v>81</v>
      </c>
      <c r="T104" s="4">
        <v>10.4</v>
      </c>
      <c r="U104" s="4">
        <v>394</v>
      </c>
      <c r="V104" s="4">
        <v>4.0999999999999996</v>
      </c>
      <c r="W104" s="4">
        <v>6.6</v>
      </c>
      <c r="X104" s="4">
        <v>1660</v>
      </c>
      <c r="Y104" s="4">
        <v>0.6</v>
      </c>
      <c r="AA104">
        <f t="shared" si="8"/>
        <v>11.211623078358292</v>
      </c>
      <c r="AB104">
        <f t="shared" si="7"/>
        <v>1.4680304840104232</v>
      </c>
      <c r="AC104">
        <f t="shared" si="9"/>
        <v>0.38150289017341038</v>
      </c>
      <c r="AD104">
        <f t="shared" si="10"/>
        <v>-8.0000000000026716E-3</v>
      </c>
      <c r="AI104" s="94">
        <f t="shared" si="11"/>
        <v>0.5625</v>
      </c>
    </row>
    <row r="105" spans="1:35">
      <c r="A105" s="4">
        <v>100</v>
      </c>
      <c r="B105" s="4" t="s">
        <v>1400</v>
      </c>
      <c r="C105" s="4">
        <v>32</v>
      </c>
      <c r="D105" s="4">
        <v>12</v>
      </c>
      <c r="E105" s="4">
        <v>11</v>
      </c>
      <c r="F105" s="4" t="s">
        <v>1518</v>
      </c>
      <c r="G105" s="4" t="s">
        <v>1527</v>
      </c>
      <c r="H105" s="4">
        <v>4.2</v>
      </c>
      <c r="I105" s="4">
        <v>11.4</v>
      </c>
      <c r="J105" s="4">
        <v>15.6</v>
      </c>
      <c r="K105" s="4">
        <v>38</v>
      </c>
      <c r="L105" s="4">
        <v>28</v>
      </c>
      <c r="M105" s="4">
        <v>156</v>
      </c>
      <c r="N105" s="4">
        <v>153</v>
      </c>
      <c r="O105" s="4">
        <v>4.3</v>
      </c>
      <c r="P105" s="4">
        <v>39000</v>
      </c>
      <c r="Q105" s="4">
        <v>1.45</v>
      </c>
      <c r="R105" s="4">
        <v>5.7</v>
      </c>
      <c r="S105" s="4">
        <v>25</v>
      </c>
      <c r="T105" s="4">
        <v>2.6</v>
      </c>
      <c r="U105" s="4">
        <v>362</v>
      </c>
      <c r="V105" s="4">
        <v>0.9</v>
      </c>
      <c r="W105" s="4">
        <v>1.7</v>
      </c>
      <c r="X105" s="4">
        <v>1650</v>
      </c>
      <c r="Y105" s="4">
        <v>0.5</v>
      </c>
      <c r="AA105">
        <f t="shared" si="8"/>
        <v>3.7862053935693911</v>
      </c>
      <c r="AB105">
        <f t="shared" si="7"/>
        <v>52.038832623767341</v>
      </c>
      <c r="AC105">
        <f t="shared" si="9"/>
        <v>0.39534883720930231</v>
      </c>
      <c r="AD105">
        <f t="shared" si="10"/>
        <v>1.000000000000334E-3</v>
      </c>
      <c r="AI105" s="94">
        <f t="shared" si="11"/>
        <v>0.375</v>
      </c>
    </row>
    <row r="106" spans="1:35">
      <c r="A106" s="4">
        <v>101</v>
      </c>
      <c r="B106" s="4" t="s">
        <v>1342</v>
      </c>
      <c r="C106" s="4">
        <v>32</v>
      </c>
      <c r="D106" s="4">
        <v>15</v>
      </c>
      <c r="E106" s="4">
        <v>13</v>
      </c>
      <c r="F106" s="4" t="s">
        <v>1469</v>
      </c>
      <c r="G106" s="4" t="s">
        <v>1528</v>
      </c>
      <c r="H106" s="4">
        <v>5.8</v>
      </c>
      <c r="I106" s="4">
        <v>19</v>
      </c>
      <c r="J106" s="4">
        <v>24.8</v>
      </c>
      <c r="K106" s="4">
        <v>37</v>
      </c>
      <c r="L106" s="4">
        <v>28</v>
      </c>
      <c r="M106" s="4">
        <v>165</v>
      </c>
      <c r="N106" s="4">
        <v>159</v>
      </c>
      <c r="O106" s="4">
        <v>7</v>
      </c>
      <c r="P106" s="4">
        <v>36000</v>
      </c>
      <c r="Q106" s="4">
        <v>1.45</v>
      </c>
      <c r="R106" s="4">
        <v>5.2</v>
      </c>
      <c r="S106" s="4">
        <v>36</v>
      </c>
      <c r="T106" s="4">
        <v>6.6</v>
      </c>
      <c r="U106" s="4">
        <v>355</v>
      </c>
      <c r="V106" s="4">
        <v>2.2999999999999998</v>
      </c>
      <c r="W106" s="4">
        <v>2.7</v>
      </c>
      <c r="X106" s="4">
        <v>1060</v>
      </c>
      <c r="Y106" s="4">
        <v>0.9</v>
      </c>
      <c r="AA106">
        <f t="shared" si="8"/>
        <v>5.5673529586772972</v>
      </c>
      <c r="AB106">
        <f t="shared" si="7"/>
        <v>55.24424204088313</v>
      </c>
      <c r="AC106">
        <f t="shared" si="9"/>
        <v>0.38571428571428573</v>
      </c>
      <c r="AD106">
        <f t="shared" si="10"/>
        <v>-6.9999999999996732E-3</v>
      </c>
      <c r="AI106" s="94">
        <f t="shared" si="11"/>
        <v>0.46875</v>
      </c>
    </row>
    <row r="107" spans="1:35">
      <c r="A107" s="4">
        <v>102</v>
      </c>
      <c r="B107" s="4" t="s">
        <v>1342</v>
      </c>
      <c r="C107" s="4">
        <v>32</v>
      </c>
      <c r="D107" s="4">
        <v>18</v>
      </c>
      <c r="E107" s="4">
        <v>13</v>
      </c>
      <c r="F107" s="4" t="s">
        <v>1519</v>
      </c>
      <c r="G107" s="4" t="s">
        <v>1527</v>
      </c>
      <c r="H107" s="4">
        <v>4.5999999999999996</v>
      </c>
      <c r="I107" s="4">
        <v>30.3</v>
      </c>
      <c r="J107" s="4">
        <v>34.9</v>
      </c>
      <c r="K107" s="4">
        <v>32</v>
      </c>
      <c r="L107" s="4">
        <v>28</v>
      </c>
      <c r="M107" s="4">
        <v>163</v>
      </c>
      <c r="N107" s="4">
        <v>169</v>
      </c>
      <c r="O107" s="4">
        <v>9.6999999999999993</v>
      </c>
      <c r="P107" s="4">
        <v>39500</v>
      </c>
      <c r="Q107" s="4">
        <v>1.4</v>
      </c>
      <c r="R107" s="4">
        <v>5.5</v>
      </c>
      <c r="S107" s="4">
        <v>53</v>
      </c>
      <c r="T107" s="4">
        <v>11.2</v>
      </c>
      <c r="U107" s="4">
        <v>343</v>
      </c>
      <c r="V107" s="4">
        <v>3.8</v>
      </c>
      <c r="W107" s="4">
        <v>3.6</v>
      </c>
      <c r="X107" s="4">
        <v>870</v>
      </c>
      <c r="Y107" s="4">
        <v>1.1000000000000001</v>
      </c>
      <c r="AA107">
        <f t="shared" si="8"/>
        <v>7.0276310766892038</v>
      </c>
      <c r="AB107">
        <f t="shared" si="7"/>
        <v>35.669190556128555</v>
      </c>
      <c r="AC107">
        <f t="shared" si="9"/>
        <v>0.37113402061855671</v>
      </c>
      <c r="AD107">
        <f t="shared" si="10"/>
        <v>-1.6000000000000014E-2</v>
      </c>
      <c r="AI107" s="94">
        <f t="shared" si="11"/>
        <v>0.5625</v>
      </c>
    </row>
    <row r="108" spans="1:35">
      <c r="A108" s="4">
        <v>103</v>
      </c>
      <c r="B108" s="4" t="s">
        <v>1342</v>
      </c>
      <c r="C108" s="4">
        <v>32</v>
      </c>
      <c r="D108" s="4">
        <v>21</v>
      </c>
      <c r="E108" s="4">
        <v>13</v>
      </c>
      <c r="F108" s="4" t="s">
        <v>1519</v>
      </c>
      <c r="G108" s="4" t="s">
        <v>1525</v>
      </c>
      <c r="H108" s="4">
        <v>4.3</v>
      </c>
      <c r="I108" s="4">
        <v>47.3</v>
      </c>
      <c r="J108" s="4">
        <v>51.6</v>
      </c>
      <c r="K108" s="4">
        <v>36</v>
      </c>
      <c r="L108" s="4">
        <v>33</v>
      </c>
      <c r="M108" s="4">
        <v>148</v>
      </c>
      <c r="N108" s="4">
        <v>158</v>
      </c>
      <c r="O108" s="4">
        <v>17</v>
      </c>
      <c r="P108" s="4">
        <v>26500</v>
      </c>
      <c r="Q108" s="4">
        <v>1.95</v>
      </c>
      <c r="R108" s="4">
        <v>5.2</v>
      </c>
      <c r="S108" s="4">
        <v>88</v>
      </c>
      <c r="T108" s="4">
        <v>13.4</v>
      </c>
      <c r="U108" s="4">
        <v>350</v>
      </c>
      <c r="V108" s="4">
        <v>4.7</v>
      </c>
      <c r="W108" s="4">
        <v>6.6</v>
      </c>
      <c r="X108" s="4">
        <v>1270</v>
      </c>
      <c r="Y108" s="4">
        <v>0.7</v>
      </c>
      <c r="AA108">
        <f t="shared" si="8"/>
        <v>11.211623078358292</v>
      </c>
      <c r="AB108">
        <f t="shared" si="7"/>
        <v>3.1982920138606725</v>
      </c>
      <c r="AC108">
        <f t="shared" si="9"/>
        <v>0.38823529411764701</v>
      </c>
      <c r="AD108">
        <f t="shared" si="10"/>
        <v>2.7999999999998693E-2</v>
      </c>
      <c r="AI108" s="94">
        <f t="shared" si="11"/>
        <v>0.65625</v>
      </c>
    </row>
    <row r="109" spans="1:35">
      <c r="A109" s="4">
        <v>104</v>
      </c>
      <c r="B109" s="4" t="s">
        <v>1401</v>
      </c>
      <c r="C109" s="4">
        <v>32</v>
      </c>
      <c r="D109" s="4">
        <v>14</v>
      </c>
      <c r="E109" s="4">
        <v>11</v>
      </c>
      <c r="F109" s="4" t="s">
        <v>1469</v>
      </c>
      <c r="G109" s="4" t="s">
        <v>1528</v>
      </c>
      <c r="H109" s="4">
        <v>5</v>
      </c>
      <c r="I109" s="4">
        <v>18.899999999999999</v>
      </c>
      <c r="J109" s="4">
        <v>23.9</v>
      </c>
      <c r="K109" s="4">
        <v>34</v>
      </c>
      <c r="L109" s="4">
        <v>27</v>
      </c>
      <c r="M109" s="4">
        <v>152</v>
      </c>
      <c r="N109" s="4">
        <v>167</v>
      </c>
      <c r="O109" s="4">
        <v>6.4</v>
      </c>
      <c r="P109" s="4">
        <v>45200</v>
      </c>
      <c r="Q109" s="4">
        <v>1.21</v>
      </c>
      <c r="R109" s="4">
        <v>5.5</v>
      </c>
      <c r="S109" s="4">
        <v>35</v>
      </c>
      <c r="T109" s="4">
        <v>6.7</v>
      </c>
      <c r="U109" s="4">
        <v>360</v>
      </c>
      <c r="V109" s="4">
        <v>2.4</v>
      </c>
      <c r="W109" s="4">
        <v>2.4</v>
      </c>
      <c r="X109" s="4">
        <v>960</v>
      </c>
      <c r="Y109" s="4">
        <v>1</v>
      </c>
      <c r="AA109">
        <f t="shared" si="8"/>
        <v>5.0526595520964479</v>
      </c>
      <c r="AB109">
        <f t="shared" si="7"/>
        <v>35.370858403269622</v>
      </c>
      <c r="AC109">
        <f t="shared" si="9"/>
        <v>0.37499999999999994</v>
      </c>
      <c r="AD109">
        <f t="shared" si="10"/>
        <v>7.9999999999991189E-3</v>
      </c>
      <c r="AI109" s="94">
        <f t="shared" si="11"/>
        <v>0.4375</v>
      </c>
    </row>
    <row r="110" spans="1:35">
      <c r="A110" s="4">
        <v>105</v>
      </c>
      <c r="B110" s="4" t="s">
        <v>1485</v>
      </c>
      <c r="C110" s="4">
        <v>32</v>
      </c>
      <c r="D110" s="4">
        <v>18</v>
      </c>
      <c r="E110" s="4">
        <v>13</v>
      </c>
      <c r="F110" s="4" t="s">
        <v>1519</v>
      </c>
      <c r="G110" s="4" t="s">
        <v>1526</v>
      </c>
      <c r="H110" s="4">
        <v>3.3</v>
      </c>
      <c r="I110" s="4">
        <v>55</v>
      </c>
      <c r="J110" s="4">
        <v>58.3</v>
      </c>
      <c r="K110" s="4">
        <v>32</v>
      </c>
      <c r="L110" s="4">
        <v>30</v>
      </c>
      <c r="M110" s="4">
        <v>157</v>
      </c>
      <c r="N110" s="4">
        <v>168</v>
      </c>
      <c r="O110" s="4">
        <v>17.7</v>
      </c>
      <c r="P110" s="4">
        <v>37500</v>
      </c>
      <c r="Q110" s="4">
        <v>1.43</v>
      </c>
      <c r="R110" s="4">
        <v>5.4</v>
      </c>
      <c r="S110" s="4">
        <v>96</v>
      </c>
      <c r="T110" s="4">
        <v>14.7</v>
      </c>
      <c r="U110" s="4">
        <v>381</v>
      </c>
      <c r="V110" s="4">
        <v>5.6</v>
      </c>
      <c r="W110" s="4">
        <v>6.6</v>
      </c>
      <c r="X110" s="4">
        <v>1200</v>
      </c>
      <c r="Y110" s="4">
        <v>0.8</v>
      </c>
      <c r="AA110">
        <f t="shared" si="8"/>
        <v>11.211623078358292</v>
      </c>
      <c r="AB110">
        <f t="shared" si="7"/>
        <v>3.1982920138606725</v>
      </c>
      <c r="AC110">
        <f t="shared" si="9"/>
        <v>0.3728813559322034</v>
      </c>
      <c r="AD110">
        <f t="shared" si="10"/>
        <v>-1.2000000000000455E-2</v>
      </c>
      <c r="AI110" s="94">
        <f t="shared" si="11"/>
        <v>0.5625</v>
      </c>
    </row>
    <row r="111" spans="1:35">
      <c r="A111" s="4">
        <v>106</v>
      </c>
      <c r="B111" s="4" t="s">
        <v>1369</v>
      </c>
      <c r="C111" s="4">
        <v>32</v>
      </c>
      <c r="D111" s="4">
        <v>21</v>
      </c>
      <c r="E111" s="4">
        <v>14</v>
      </c>
      <c r="F111" s="4" t="s">
        <v>1519</v>
      </c>
      <c r="G111" s="4" t="s">
        <v>1527</v>
      </c>
      <c r="H111" s="4">
        <v>4.4000000000000004</v>
      </c>
      <c r="I111" s="4">
        <v>60.4</v>
      </c>
      <c r="J111" s="4">
        <v>64.8</v>
      </c>
      <c r="K111" s="4">
        <v>31</v>
      </c>
      <c r="L111" s="4">
        <v>29</v>
      </c>
      <c r="M111" s="4">
        <v>165</v>
      </c>
      <c r="N111" s="4">
        <v>172</v>
      </c>
      <c r="O111" s="4">
        <v>18.8</v>
      </c>
      <c r="P111" s="4">
        <v>28200</v>
      </c>
      <c r="Q111" s="4">
        <v>1.86</v>
      </c>
      <c r="R111" s="4">
        <v>5.2</v>
      </c>
      <c r="S111" s="4">
        <v>98</v>
      </c>
      <c r="T111" s="4">
        <v>14.8</v>
      </c>
      <c r="U111" s="4">
        <v>359</v>
      </c>
      <c r="V111" s="4">
        <v>5.3</v>
      </c>
      <c r="W111" s="4">
        <v>6.9</v>
      </c>
      <c r="X111" s="4">
        <v>1270</v>
      </c>
      <c r="Y111" s="4">
        <v>0.8</v>
      </c>
      <c r="AA111">
        <f t="shared" si="8"/>
        <v>11.584432464486165</v>
      </c>
      <c r="AB111">
        <f t="shared" si="7"/>
        <v>5.8349665186283843</v>
      </c>
      <c r="AC111">
        <f t="shared" si="9"/>
        <v>0.36702127659574468</v>
      </c>
      <c r="AD111">
        <f t="shared" si="10"/>
        <v>-3.2000000000000028E-2</v>
      </c>
      <c r="AI111" s="94">
        <f t="shared" si="11"/>
        <v>0.65625</v>
      </c>
    </row>
    <row r="112" spans="1:35">
      <c r="A112" s="4">
        <v>107</v>
      </c>
      <c r="B112" s="4" t="s">
        <v>1402</v>
      </c>
      <c r="C112" s="4">
        <v>32</v>
      </c>
      <c r="D112" s="4">
        <v>24</v>
      </c>
      <c r="E112" s="4">
        <v>13</v>
      </c>
      <c r="F112" s="4" t="s">
        <v>1519</v>
      </c>
      <c r="G112" s="4" t="s">
        <v>1527</v>
      </c>
      <c r="H112" s="4">
        <v>4.5</v>
      </c>
      <c r="I112" s="4">
        <v>82</v>
      </c>
      <c r="J112" s="4">
        <v>86.5</v>
      </c>
      <c r="K112" s="4">
        <v>28</v>
      </c>
      <c r="L112" s="4">
        <v>27</v>
      </c>
      <c r="M112" s="4">
        <v>143</v>
      </c>
      <c r="N112" s="4">
        <v>156</v>
      </c>
      <c r="O112" s="4">
        <v>23</v>
      </c>
      <c r="P112" s="4">
        <v>29000</v>
      </c>
      <c r="Q112" s="4">
        <v>1.77</v>
      </c>
      <c r="R112" s="4">
        <v>5.0999999999999996</v>
      </c>
      <c r="S112" s="4">
        <v>117</v>
      </c>
      <c r="T112" s="4">
        <v>17.5</v>
      </c>
      <c r="U112" s="4">
        <v>363</v>
      </c>
      <c r="V112" s="4">
        <v>6.3</v>
      </c>
      <c r="W112" s="4">
        <v>9</v>
      </c>
      <c r="X112" s="4">
        <v>1310</v>
      </c>
      <c r="Y112" s="4">
        <v>0.7</v>
      </c>
      <c r="AA112">
        <f t="shared" si="8"/>
        <v>14.012310185283903</v>
      </c>
      <c r="AB112">
        <f t="shared" si="7"/>
        <v>1.0247719112295304</v>
      </c>
      <c r="AC112">
        <f t="shared" si="9"/>
        <v>0.39130434782608697</v>
      </c>
      <c r="AD112">
        <f t="shared" si="10"/>
        <v>3.9999999999999147E-2</v>
      </c>
      <c r="AI112" s="94">
        <f t="shared" si="11"/>
        <v>0.75</v>
      </c>
    </row>
    <row r="113" spans="1:35">
      <c r="A113" s="4">
        <v>108</v>
      </c>
      <c r="B113" s="4" t="s">
        <v>1403</v>
      </c>
      <c r="C113" s="4">
        <v>32</v>
      </c>
      <c r="D113" s="4">
        <v>10</v>
      </c>
      <c r="E113" s="4">
        <v>11</v>
      </c>
      <c r="F113" s="4" t="s">
        <v>1518</v>
      </c>
      <c r="G113" s="4" t="s">
        <v>1524</v>
      </c>
      <c r="H113" s="4">
        <v>8.8000000000000007</v>
      </c>
      <c r="I113" s="4">
        <v>9.1</v>
      </c>
      <c r="J113" s="4">
        <v>17.899999999999999</v>
      </c>
      <c r="K113" s="4">
        <v>41</v>
      </c>
      <c r="L113" s="4">
        <v>21</v>
      </c>
      <c r="M113" s="4">
        <v>165</v>
      </c>
      <c r="N113" s="4">
        <v>147</v>
      </c>
      <c r="O113" s="4">
        <v>3.7</v>
      </c>
      <c r="P113" s="4">
        <v>44000</v>
      </c>
      <c r="Q113" s="4">
        <v>1.24</v>
      </c>
      <c r="R113" s="4">
        <v>5.5</v>
      </c>
      <c r="S113" s="4">
        <v>20</v>
      </c>
      <c r="T113" s="4">
        <v>3.6</v>
      </c>
      <c r="U113" s="4">
        <v>364</v>
      </c>
      <c r="V113" s="4">
        <v>1.3</v>
      </c>
      <c r="W113" s="4">
        <v>1.5</v>
      </c>
      <c r="X113" s="4">
        <v>1030</v>
      </c>
      <c r="Y113" s="4">
        <v>0.9</v>
      </c>
      <c r="AA113">
        <f t="shared" si="8"/>
        <v>3.4048201998037113</v>
      </c>
      <c r="AB113">
        <f t="shared" si="7"/>
        <v>57.686756197309734</v>
      </c>
      <c r="AC113">
        <f t="shared" si="9"/>
        <v>0.40540540540540537</v>
      </c>
      <c r="AD113">
        <f t="shared" si="10"/>
        <v>4.9999999999994493E-3</v>
      </c>
      <c r="AI113" s="94">
        <f t="shared" si="11"/>
        <v>0.3125</v>
      </c>
    </row>
    <row r="114" spans="1:35">
      <c r="A114" s="4">
        <v>109</v>
      </c>
      <c r="B114" s="4" t="s">
        <v>1395</v>
      </c>
      <c r="C114" s="4">
        <v>32</v>
      </c>
      <c r="D114" s="4">
        <v>14</v>
      </c>
      <c r="E114" s="4">
        <v>12</v>
      </c>
      <c r="F114" s="4" t="s">
        <v>1469</v>
      </c>
      <c r="G114" s="4" t="s">
        <v>1525</v>
      </c>
      <c r="H114" s="4">
        <v>6.6</v>
      </c>
      <c r="I114" s="4">
        <v>16.2</v>
      </c>
      <c r="J114" s="4">
        <v>22.8</v>
      </c>
      <c r="K114" s="4">
        <v>43</v>
      </c>
      <c r="L114" s="4">
        <v>31</v>
      </c>
      <c r="M114" s="4">
        <v>158</v>
      </c>
      <c r="N114" s="4">
        <v>150</v>
      </c>
      <c r="O114" s="4">
        <v>7</v>
      </c>
      <c r="P114" s="4">
        <v>39300</v>
      </c>
      <c r="Q114" s="4">
        <v>1.47</v>
      </c>
      <c r="R114" s="4">
        <v>5.8</v>
      </c>
      <c r="S114" s="4">
        <v>41</v>
      </c>
      <c r="T114" s="4">
        <v>7.3</v>
      </c>
      <c r="U114" s="4">
        <v>345</v>
      </c>
      <c r="V114" s="4">
        <v>2.5</v>
      </c>
      <c r="W114" s="4">
        <v>2.8</v>
      </c>
      <c r="X114" s="4">
        <v>960</v>
      </c>
      <c r="Y114" s="4">
        <v>0.9</v>
      </c>
      <c r="AA114">
        <f t="shared" si="8"/>
        <v>5.7355929852500527</v>
      </c>
      <c r="AB114">
        <f t="shared" si="7"/>
        <v>39.242795246448345</v>
      </c>
      <c r="AC114">
        <f t="shared" si="9"/>
        <v>0.39999999999999997</v>
      </c>
      <c r="AD114">
        <f t="shared" si="10"/>
        <v>0</v>
      </c>
      <c r="AI114" s="94">
        <f t="shared" si="11"/>
        <v>0.4375</v>
      </c>
    </row>
    <row r="115" spans="1:35">
      <c r="A115" s="4">
        <v>110</v>
      </c>
      <c r="B115" s="4" t="s">
        <v>1395</v>
      </c>
      <c r="C115" s="4">
        <v>32</v>
      </c>
      <c r="D115" s="4">
        <v>17</v>
      </c>
      <c r="E115" s="4">
        <v>13</v>
      </c>
      <c r="F115" s="4" t="s">
        <v>1519</v>
      </c>
      <c r="G115" s="4" t="s">
        <v>1524</v>
      </c>
      <c r="H115" s="4">
        <v>5</v>
      </c>
      <c r="I115" s="4">
        <v>29.6</v>
      </c>
      <c r="J115" s="4">
        <v>34.6</v>
      </c>
      <c r="K115" s="4">
        <v>36</v>
      </c>
      <c r="L115" s="4">
        <v>31</v>
      </c>
      <c r="M115" s="4">
        <v>148</v>
      </c>
      <c r="N115" s="4">
        <v>151</v>
      </c>
      <c r="O115" s="4">
        <v>10.8</v>
      </c>
      <c r="P115" s="4">
        <v>32300</v>
      </c>
      <c r="Q115" s="4">
        <v>1.7</v>
      </c>
      <c r="R115" s="4">
        <v>5.5</v>
      </c>
      <c r="S115" s="4">
        <v>59</v>
      </c>
      <c r="T115" s="4">
        <v>11</v>
      </c>
      <c r="U115" s="4">
        <v>355</v>
      </c>
      <c r="V115" s="4">
        <v>3.9</v>
      </c>
      <c r="W115" s="4">
        <v>4.3</v>
      </c>
      <c r="X115" s="4">
        <v>980</v>
      </c>
      <c r="Y115" s="4">
        <v>0.9</v>
      </c>
      <c r="AA115">
        <f t="shared" si="8"/>
        <v>8.0885698847608243</v>
      </c>
      <c r="AB115">
        <f t="shared" si="7"/>
        <v>24.122145776878302</v>
      </c>
      <c r="AC115">
        <f t="shared" si="9"/>
        <v>0.39814814814814808</v>
      </c>
      <c r="AD115">
        <f t="shared" si="10"/>
        <v>-7.0000000000014495E-3</v>
      </c>
      <c r="AI115" s="94">
        <f t="shared" si="11"/>
        <v>0.53125</v>
      </c>
    </row>
    <row r="116" spans="1:35">
      <c r="A116" s="4">
        <v>111</v>
      </c>
      <c r="B116" s="4" t="s">
        <v>1404</v>
      </c>
      <c r="C116" s="4">
        <v>32</v>
      </c>
      <c r="D116" s="4">
        <v>20</v>
      </c>
      <c r="E116" s="4">
        <v>13</v>
      </c>
      <c r="F116" s="4" t="s">
        <v>1519</v>
      </c>
      <c r="G116" s="4" t="s">
        <v>1525</v>
      </c>
      <c r="H116" s="4">
        <v>4.8</v>
      </c>
      <c r="I116" s="4">
        <v>47.4</v>
      </c>
      <c r="J116" s="4">
        <v>52.2</v>
      </c>
      <c r="K116" s="4">
        <v>35</v>
      </c>
      <c r="L116" s="4">
        <v>31</v>
      </c>
      <c r="M116" s="4">
        <v>149</v>
      </c>
      <c r="N116" s="4">
        <v>138</v>
      </c>
      <c r="O116" s="4">
        <v>16.399999999999999</v>
      </c>
      <c r="P116" s="4">
        <v>39000</v>
      </c>
      <c r="Q116" s="4">
        <v>1.48</v>
      </c>
      <c r="R116" s="4">
        <v>5.8</v>
      </c>
      <c r="S116" s="4">
        <v>95</v>
      </c>
      <c r="T116" s="4">
        <v>17.2</v>
      </c>
      <c r="U116" s="4">
        <v>345</v>
      </c>
      <c r="V116" s="4">
        <v>5.9</v>
      </c>
      <c r="W116" s="4">
        <v>6.9</v>
      </c>
      <c r="X116" s="4">
        <v>950</v>
      </c>
      <c r="Y116" s="4">
        <v>0.9</v>
      </c>
      <c r="AA116">
        <f t="shared" si="8"/>
        <v>11.584432464486165</v>
      </c>
      <c r="AB116">
        <f t="shared" si="7"/>
        <v>2.0038314476007133</v>
      </c>
      <c r="AC116">
        <f t="shared" si="9"/>
        <v>0.42073170731707321</v>
      </c>
      <c r="AD116">
        <f t="shared" si="10"/>
        <v>2.2000000000002018E-2</v>
      </c>
      <c r="AI116" s="94">
        <f t="shared" si="11"/>
        <v>0.625</v>
      </c>
    </row>
    <row r="117" spans="1:35">
      <c r="A117" s="4">
        <v>112</v>
      </c>
      <c r="B117" s="4" t="s">
        <v>1405</v>
      </c>
      <c r="C117" s="4">
        <v>32</v>
      </c>
      <c r="D117" s="4">
        <v>9</v>
      </c>
      <c r="E117" s="4">
        <v>8</v>
      </c>
      <c r="F117" s="4" t="s">
        <v>1518</v>
      </c>
      <c r="G117" s="4" t="s">
        <v>1528</v>
      </c>
      <c r="H117" s="4">
        <v>8.1999999999999993</v>
      </c>
      <c r="I117" s="4">
        <v>6.7</v>
      </c>
      <c r="J117" s="4">
        <v>14.9</v>
      </c>
      <c r="K117" s="4">
        <v>37</v>
      </c>
      <c r="L117" s="4">
        <v>17</v>
      </c>
      <c r="M117" s="4">
        <v>158</v>
      </c>
      <c r="N117" s="4">
        <v>150</v>
      </c>
      <c r="O117" s="4">
        <v>2.5</v>
      </c>
      <c r="P117" s="4">
        <v>55000</v>
      </c>
      <c r="Q117" s="4">
        <v>1.1299999999999999</v>
      </c>
      <c r="R117" s="4">
        <v>6.2</v>
      </c>
      <c r="S117" s="4">
        <v>15</v>
      </c>
      <c r="T117" s="4">
        <v>1.7</v>
      </c>
      <c r="U117" s="4">
        <v>355</v>
      </c>
      <c r="V117" s="4">
        <v>0.6</v>
      </c>
      <c r="W117" s="4">
        <v>1</v>
      </c>
      <c r="X117" s="4">
        <v>1470</v>
      </c>
      <c r="Y117" s="4">
        <v>0.6</v>
      </c>
      <c r="AA117">
        <f t="shared" si="8"/>
        <v>2.4038461538461537</v>
      </c>
      <c r="AB117">
        <f t="shared" si="7"/>
        <v>31.316937869822493</v>
      </c>
      <c r="AC117">
        <f t="shared" si="9"/>
        <v>0.4</v>
      </c>
      <c r="AD117">
        <f t="shared" si="10"/>
        <v>0</v>
      </c>
      <c r="AI117" s="94">
        <f t="shared" si="11"/>
        <v>0.28125</v>
      </c>
    </row>
    <row r="118" spans="1:35">
      <c r="A118" s="4">
        <v>113</v>
      </c>
      <c r="B118" s="4" t="s">
        <v>1406</v>
      </c>
      <c r="C118" s="4">
        <v>32</v>
      </c>
      <c r="D118" s="4">
        <v>11</v>
      </c>
      <c r="E118" s="4">
        <v>10</v>
      </c>
      <c r="F118" s="4" t="s">
        <v>1469</v>
      </c>
      <c r="G118" s="4" t="s">
        <v>1526</v>
      </c>
      <c r="H118" s="4">
        <v>6.8</v>
      </c>
      <c r="I118" s="4">
        <v>9.4</v>
      </c>
      <c r="J118" s="4">
        <v>16.2</v>
      </c>
      <c r="K118" s="4">
        <v>39</v>
      </c>
      <c r="L118" s="4">
        <v>23</v>
      </c>
      <c r="M118" s="4">
        <v>138</v>
      </c>
      <c r="N118" s="4">
        <v>131</v>
      </c>
      <c r="O118" s="4">
        <v>3.7</v>
      </c>
      <c r="P118" s="4">
        <v>45000</v>
      </c>
      <c r="Q118" s="4">
        <v>1.4</v>
      </c>
      <c r="R118" s="4">
        <v>6.3</v>
      </c>
      <c r="S118" s="4">
        <v>23</v>
      </c>
      <c r="T118" s="4">
        <v>3.3</v>
      </c>
      <c r="U118" s="4">
        <v>377</v>
      </c>
      <c r="V118" s="4">
        <v>1.2</v>
      </c>
      <c r="W118" s="4">
        <v>1.6</v>
      </c>
      <c r="X118" s="4">
        <v>1120</v>
      </c>
      <c r="Y118" s="4">
        <v>0.7</v>
      </c>
      <c r="AA118">
        <f t="shared" si="8"/>
        <v>3.5967264375551449</v>
      </c>
      <c r="AB118">
        <f t="shared" si="7"/>
        <v>41.00191231550523</v>
      </c>
      <c r="AC118">
        <f t="shared" si="9"/>
        <v>0.43243243243243246</v>
      </c>
      <c r="AD118">
        <f t="shared" si="10"/>
        <v>-4.0000000000000036E-3</v>
      </c>
      <c r="AI118" s="94">
        <f t="shared" si="11"/>
        <v>0.34375</v>
      </c>
    </row>
    <row r="119" spans="1:35">
      <c r="A119" s="4">
        <v>114</v>
      </c>
      <c r="B119" s="4" t="s">
        <v>1406</v>
      </c>
      <c r="C119" s="4">
        <v>32</v>
      </c>
      <c r="D119" s="4">
        <v>13</v>
      </c>
      <c r="E119" s="4">
        <v>10</v>
      </c>
      <c r="F119" s="4" t="s">
        <v>1469</v>
      </c>
      <c r="G119" s="4" t="s">
        <v>1525</v>
      </c>
      <c r="H119" s="4">
        <v>5.5</v>
      </c>
      <c r="I119" s="4">
        <v>12.5</v>
      </c>
      <c r="J119" s="4">
        <v>18</v>
      </c>
      <c r="K119" s="4">
        <v>31</v>
      </c>
      <c r="L119" s="4">
        <v>22</v>
      </c>
      <c r="M119" s="4">
        <v>150</v>
      </c>
      <c r="N119" s="4">
        <v>144</v>
      </c>
      <c r="O119" s="4">
        <v>3.9</v>
      </c>
      <c r="P119" s="4">
        <v>52400</v>
      </c>
      <c r="Q119" s="4">
        <v>1.33</v>
      </c>
      <c r="R119" s="4">
        <v>7</v>
      </c>
      <c r="S119" s="4">
        <v>27</v>
      </c>
      <c r="T119" s="4">
        <v>3.6</v>
      </c>
      <c r="U119" s="4">
        <v>348</v>
      </c>
      <c r="V119" s="4">
        <v>1.3</v>
      </c>
      <c r="W119" s="4">
        <v>1.6</v>
      </c>
      <c r="X119" s="4">
        <v>1080</v>
      </c>
      <c r="Y119" s="4">
        <v>0.8</v>
      </c>
      <c r="AA119">
        <f t="shared" si="8"/>
        <v>3.5967264375551449</v>
      </c>
      <c r="AB119">
        <f t="shared" si="7"/>
        <v>41.00191231550523</v>
      </c>
      <c r="AC119">
        <f t="shared" si="9"/>
        <v>0.4102564102564103</v>
      </c>
      <c r="AD119">
        <f t="shared" si="10"/>
        <v>4.0000000000000036E-3</v>
      </c>
      <c r="AI119" s="94">
        <f t="shared" si="11"/>
        <v>0.40625</v>
      </c>
    </row>
    <row r="120" spans="1:35">
      <c r="A120" s="4">
        <v>115</v>
      </c>
      <c r="B120" s="4" t="s">
        <v>1406</v>
      </c>
      <c r="C120" s="4">
        <v>32</v>
      </c>
      <c r="D120" s="4">
        <v>16</v>
      </c>
      <c r="E120" s="4">
        <v>11</v>
      </c>
      <c r="F120" s="4" t="s">
        <v>1519</v>
      </c>
      <c r="G120" s="4" t="s">
        <v>1525</v>
      </c>
      <c r="H120" s="4">
        <v>5.8</v>
      </c>
      <c r="I120" s="4">
        <v>25.6</v>
      </c>
      <c r="J120" s="4">
        <v>31.4</v>
      </c>
      <c r="K120" s="4">
        <v>33</v>
      </c>
      <c r="L120" s="4">
        <v>27</v>
      </c>
      <c r="M120" s="4">
        <v>145</v>
      </c>
      <c r="N120" s="4">
        <v>133</v>
      </c>
      <c r="O120" s="4">
        <v>8.4</v>
      </c>
      <c r="P120" s="4">
        <v>39000</v>
      </c>
      <c r="Q120" s="4">
        <v>1.48</v>
      </c>
      <c r="R120" s="4">
        <v>5.8</v>
      </c>
      <c r="S120" s="4">
        <v>49</v>
      </c>
      <c r="T120" s="4">
        <v>5.4</v>
      </c>
      <c r="U120" s="4">
        <v>337</v>
      </c>
      <c r="V120" s="4">
        <v>1.8</v>
      </c>
      <c r="W120" s="4">
        <v>3.6</v>
      </c>
      <c r="X120" s="4">
        <v>1560</v>
      </c>
      <c r="Y120" s="4">
        <v>0.5</v>
      </c>
      <c r="AA120">
        <f t="shared" si="8"/>
        <v>7.0276310766892038</v>
      </c>
      <c r="AB120">
        <f t="shared" si="7"/>
        <v>15.779714862885374</v>
      </c>
      <c r="AC120">
        <f t="shared" si="9"/>
        <v>0.42857142857142855</v>
      </c>
      <c r="AD120">
        <f t="shared" si="10"/>
        <v>-1.2000000000000455E-2</v>
      </c>
      <c r="AI120" s="94">
        <f t="shared" si="11"/>
        <v>0.5</v>
      </c>
    </row>
    <row r="121" spans="1:35">
      <c r="A121" s="4">
        <v>116</v>
      </c>
      <c r="B121" s="4" t="s">
        <v>1407</v>
      </c>
      <c r="C121" s="4">
        <v>32</v>
      </c>
      <c r="D121" s="4">
        <v>8</v>
      </c>
      <c r="E121" s="4">
        <v>9</v>
      </c>
      <c r="F121" s="4" t="s">
        <v>1518</v>
      </c>
      <c r="G121" s="4" t="s">
        <v>1529</v>
      </c>
      <c r="H121" s="4">
        <v>7.6</v>
      </c>
      <c r="I121" s="4">
        <v>5.9</v>
      </c>
      <c r="J121" s="4">
        <v>13.5</v>
      </c>
      <c r="K121" s="4">
        <v>37</v>
      </c>
      <c r="L121" s="4">
        <v>16</v>
      </c>
      <c r="M121" s="4">
        <v>159</v>
      </c>
      <c r="N121" s="4">
        <v>144</v>
      </c>
      <c r="O121" s="4">
        <v>2.2000000000000002</v>
      </c>
      <c r="P121" s="4">
        <v>62000</v>
      </c>
      <c r="Q121" s="4">
        <v>0.99</v>
      </c>
      <c r="R121" s="4">
        <v>6.1</v>
      </c>
      <c r="S121" s="4">
        <v>13</v>
      </c>
      <c r="T121" s="4">
        <v>1.3</v>
      </c>
      <c r="U121" s="4">
        <v>382</v>
      </c>
      <c r="V121" s="4">
        <v>0.5</v>
      </c>
      <c r="W121" s="4">
        <v>0.9</v>
      </c>
      <c r="X121" s="4">
        <v>1690</v>
      </c>
      <c r="Y121" s="4">
        <v>0.6</v>
      </c>
      <c r="AA121">
        <f t="shared" si="8"/>
        <v>2.1940104800524023</v>
      </c>
      <c r="AB121">
        <f t="shared" si="7"/>
        <v>46.32149334563654</v>
      </c>
      <c r="AC121">
        <f t="shared" si="9"/>
        <v>0.40909090909090906</v>
      </c>
      <c r="AD121">
        <f t="shared" si="10"/>
        <v>-4.0000000000000036E-3</v>
      </c>
      <c r="AI121" s="94">
        <f t="shared" si="11"/>
        <v>0.25</v>
      </c>
    </row>
    <row r="122" spans="1:35">
      <c r="A122" s="4">
        <v>117</v>
      </c>
      <c r="B122" s="4" t="s">
        <v>1360</v>
      </c>
      <c r="C122" s="4">
        <v>32</v>
      </c>
      <c r="D122" s="4">
        <v>10</v>
      </c>
      <c r="E122" s="4">
        <v>9</v>
      </c>
      <c r="F122" s="4" t="s">
        <v>1469</v>
      </c>
      <c r="G122" s="4" t="s">
        <v>1529</v>
      </c>
      <c r="H122" s="4">
        <v>5.6</v>
      </c>
      <c r="I122" s="4">
        <v>8.6999999999999993</v>
      </c>
      <c r="J122" s="4">
        <v>14.3</v>
      </c>
      <c r="K122" s="4">
        <v>46</v>
      </c>
      <c r="L122" s="4">
        <v>28</v>
      </c>
      <c r="M122" s="4">
        <v>174</v>
      </c>
      <c r="N122" s="4">
        <v>150</v>
      </c>
      <c r="O122" s="4">
        <v>4</v>
      </c>
      <c r="P122" s="4">
        <v>40000</v>
      </c>
      <c r="Q122" s="4">
        <v>1.39</v>
      </c>
      <c r="R122" s="4">
        <v>5.6</v>
      </c>
      <c r="S122" s="4">
        <v>22</v>
      </c>
      <c r="T122" s="4">
        <v>3.5</v>
      </c>
      <c r="U122" s="4">
        <v>379</v>
      </c>
      <c r="V122" s="4">
        <v>1.3</v>
      </c>
      <c r="W122" s="4">
        <v>1.6</v>
      </c>
      <c r="X122" s="4">
        <v>1140</v>
      </c>
      <c r="Y122" s="4">
        <v>0.8</v>
      </c>
      <c r="AA122">
        <f t="shared" si="8"/>
        <v>3.5967264375551449</v>
      </c>
      <c r="AB122">
        <f t="shared" si="7"/>
        <v>29.195365190615522</v>
      </c>
      <c r="AC122">
        <f t="shared" si="9"/>
        <v>0.4</v>
      </c>
      <c r="AD122">
        <f t="shared" si="10"/>
        <v>0</v>
      </c>
      <c r="AI122" s="94">
        <f t="shared" si="11"/>
        <v>0.3125</v>
      </c>
    </row>
    <row r="123" spans="1:35">
      <c r="A123" s="4">
        <v>118</v>
      </c>
      <c r="B123" s="4" t="s">
        <v>1360</v>
      </c>
      <c r="C123" s="4">
        <v>32</v>
      </c>
      <c r="D123" s="4">
        <v>13</v>
      </c>
      <c r="E123" s="4">
        <v>10</v>
      </c>
      <c r="F123" s="4" t="s">
        <v>1519</v>
      </c>
      <c r="G123" s="4" t="s">
        <v>1524</v>
      </c>
      <c r="H123" s="4">
        <v>4.5999999999999996</v>
      </c>
      <c r="I123" s="4">
        <v>16</v>
      </c>
      <c r="J123" s="4">
        <v>20.6</v>
      </c>
      <c r="K123" s="4">
        <v>34</v>
      </c>
      <c r="L123" s="4">
        <v>26</v>
      </c>
      <c r="M123" s="4">
        <v>164</v>
      </c>
      <c r="N123" s="4">
        <v>145</v>
      </c>
      <c r="O123" s="4">
        <v>5.4</v>
      </c>
      <c r="P123" s="4">
        <v>43000</v>
      </c>
      <c r="Q123" s="4">
        <v>1.24</v>
      </c>
      <c r="R123" s="4">
        <v>5.3</v>
      </c>
      <c r="S123" s="4">
        <v>29</v>
      </c>
      <c r="T123" s="4">
        <v>4.5</v>
      </c>
      <c r="U123" s="4">
        <v>348</v>
      </c>
      <c r="V123" s="4">
        <v>1.6</v>
      </c>
      <c r="W123" s="4">
        <v>2.2000000000000002</v>
      </c>
      <c r="X123" s="4">
        <v>1200</v>
      </c>
      <c r="Y123" s="4">
        <v>0.7</v>
      </c>
      <c r="AA123">
        <f t="shared" si="8"/>
        <v>4.7007044799259941</v>
      </c>
      <c r="AB123">
        <f t="shared" si="7"/>
        <v>28.082533009076428</v>
      </c>
      <c r="AC123">
        <f t="shared" si="9"/>
        <v>0.40740740740740744</v>
      </c>
      <c r="AD123">
        <f t="shared" si="10"/>
        <v>-9.9999999999997868E-3</v>
      </c>
      <c r="AI123" s="94">
        <f t="shared" si="11"/>
        <v>0.40625</v>
      </c>
    </row>
    <row r="124" spans="1:35">
      <c r="A124" s="4">
        <v>119</v>
      </c>
      <c r="B124" s="4" t="s">
        <v>1360</v>
      </c>
      <c r="C124" s="4">
        <v>32</v>
      </c>
      <c r="D124" s="4">
        <v>16</v>
      </c>
      <c r="E124" s="4">
        <v>11</v>
      </c>
      <c r="F124" s="4" t="s">
        <v>1519</v>
      </c>
      <c r="G124" s="4" t="s">
        <v>1529</v>
      </c>
      <c r="H124" s="4">
        <v>4</v>
      </c>
      <c r="I124" s="4">
        <v>21</v>
      </c>
      <c r="J124" s="4">
        <v>25</v>
      </c>
      <c r="K124" s="4">
        <v>40</v>
      </c>
      <c r="L124" s="4">
        <v>34</v>
      </c>
      <c r="M124" s="4">
        <v>147</v>
      </c>
      <c r="N124" s="4">
        <v>140</v>
      </c>
      <c r="O124" s="4">
        <v>8.4</v>
      </c>
      <c r="P124" s="4">
        <v>44600</v>
      </c>
      <c r="Q124" s="4">
        <v>1.23</v>
      </c>
      <c r="R124" s="4">
        <v>5.5</v>
      </c>
      <c r="S124" s="4">
        <v>46</v>
      </c>
      <c r="T124" s="4">
        <v>7.5</v>
      </c>
      <c r="U124" s="4">
        <v>369</v>
      </c>
      <c r="V124" s="4">
        <v>2.8</v>
      </c>
      <c r="W124" s="4">
        <v>3.5</v>
      </c>
      <c r="X124" s="4">
        <v>1120</v>
      </c>
      <c r="Y124" s="4">
        <v>0.8</v>
      </c>
      <c r="AA124">
        <f t="shared" si="8"/>
        <v>6.8710357076658566</v>
      </c>
      <c r="AB124">
        <f t="shared" si="7"/>
        <v>17.048346127370394</v>
      </c>
      <c r="AC124">
        <f t="shared" si="9"/>
        <v>0.41666666666666663</v>
      </c>
      <c r="AD124">
        <f t="shared" si="10"/>
        <v>0</v>
      </c>
      <c r="AI124" s="94">
        <f t="shared" si="11"/>
        <v>0.5</v>
      </c>
    </row>
    <row r="125" spans="1:35">
      <c r="A125" s="4">
        <v>120</v>
      </c>
      <c r="B125" s="6" t="s">
        <v>1408</v>
      </c>
      <c r="C125" s="4">
        <v>32</v>
      </c>
      <c r="D125" s="4">
        <v>8</v>
      </c>
      <c r="E125" s="4">
        <v>11</v>
      </c>
      <c r="F125" s="4" t="s">
        <v>1518</v>
      </c>
      <c r="G125" s="4" t="s">
        <v>1528</v>
      </c>
      <c r="H125" s="4">
        <v>14.4</v>
      </c>
      <c r="I125" s="4">
        <v>5.2</v>
      </c>
      <c r="J125" s="4">
        <v>19.600000000000001</v>
      </c>
      <c r="K125" s="4">
        <v>29</v>
      </c>
      <c r="L125" s="4">
        <v>8</v>
      </c>
      <c r="M125" s="4">
        <v>143</v>
      </c>
      <c r="N125" s="4">
        <v>150</v>
      </c>
      <c r="O125" s="4">
        <v>1.5</v>
      </c>
      <c r="P125" s="4">
        <v>46000</v>
      </c>
      <c r="Q125" s="4">
        <v>1.34</v>
      </c>
      <c r="R125" s="4">
        <v>6.2</v>
      </c>
      <c r="S125" s="4">
        <v>9</v>
      </c>
      <c r="T125" s="4">
        <v>1.5</v>
      </c>
      <c r="U125" s="4">
        <v>418</v>
      </c>
      <c r="V125" s="4">
        <v>0.6</v>
      </c>
      <c r="W125" s="4">
        <v>0.6</v>
      </c>
      <c r="X125" s="4">
        <v>1000</v>
      </c>
      <c r="Y125" s="4">
        <v>1</v>
      </c>
      <c r="AA125">
        <f t="shared" si="8"/>
        <v>1.5397245602965435</v>
      </c>
      <c r="AB125">
        <f t="shared" si="7"/>
        <v>89.49681139505644</v>
      </c>
      <c r="AC125">
        <f t="shared" si="9"/>
        <v>0.39999999999999997</v>
      </c>
      <c r="AD125">
        <f t="shared" si="10"/>
        <v>0</v>
      </c>
      <c r="AI125" s="94">
        <f t="shared" si="11"/>
        <v>0.25</v>
      </c>
    </row>
    <row r="126" spans="1:35">
      <c r="A126" s="4">
        <v>121</v>
      </c>
      <c r="B126" s="4" t="s">
        <v>1409</v>
      </c>
      <c r="C126" s="4">
        <v>32</v>
      </c>
      <c r="D126" s="4">
        <v>10</v>
      </c>
      <c r="E126" s="4">
        <v>12</v>
      </c>
      <c r="F126" s="4" t="s">
        <v>1469</v>
      </c>
      <c r="G126" s="4" t="s">
        <v>1528</v>
      </c>
      <c r="H126" s="4">
        <v>11</v>
      </c>
      <c r="I126" s="4">
        <v>8</v>
      </c>
      <c r="J126" s="4">
        <v>19</v>
      </c>
      <c r="K126" s="4">
        <v>41</v>
      </c>
      <c r="L126" s="4">
        <v>17</v>
      </c>
      <c r="M126" s="4">
        <v>159</v>
      </c>
      <c r="N126" s="4">
        <v>154</v>
      </c>
      <c r="O126" s="4">
        <v>3.3</v>
      </c>
      <c r="P126" s="4">
        <v>49000</v>
      </c>
      <c r="Q126" s="4">
        <v>1.23</v>
      </c>
      <c r="R126" s="4">
        <v>6</v>
      </c>
      <c r="S126" s="4">
        <v>20</v>
      </c>
      <c r="T126" s="4">
        <v>2.8</v>
      </c>
      <c r="U126" s="4">
        <v>400</v>
      </c>
      <c r="V126" s="4">
        <v>1.1000000000000001</v>
      </c>
      <c r="W126" s="4">
        <v>1.3</v>
      </c>
      <c r="X126" s="4">
        <v>1180</v>
      </c>
      <c r="Y126" s="4">
        <v>0.8</v>
      </c>
      <c r="AA126">
        <f t="shared" si="8"/>
        <v>3.0132109422707201</v>
      </c>
      <c r="AB126">
        <f t="shared" si="7"/>
        <v>80.762377568122702</v>
      </c>
      <c r="AC126">
        <f t="shared" si="9"/>
        <v>0.39393939393939398</v>
      </c>
      <c r="AD126">
        <f t="shared" si="10"/>
        <v>2.0000000000002238E-3</v>
      </c>
      <c r="AI126" s="94">
        <f t="shared" si="11"/>
        <v>0.3125</v>
      </c>
    </row>
    <row r="127" spans="1:35">
      <c r="A127" s="4">
        <v>122</v>
      </c>
      <c r="B127" s="4" t="s">
        <v>1367</v>
      </c>
      <c r="C127" s="4">
        <v>32</v>
      </c>
      <c r="D127" s="4">
        <v>13</v>
      </c>
      <c r="E127" s="4">
        <v>13</v>
      </c>
      <c r="F127" s="4" t="s">
        <v>1469</v>
      </c>
      <c r="G127" s="4" t="s">
        <v>1528</v>
      </c>
      <c r="H127" s="4">
        <v>9.1999999999999993</v>
      </c>
      <c r="I127" s="4">
        <v>14.3</v>
      </c>
      <c r="J127" s="4">
        <v>23.5</v>
      </c>
      <c r="K127" s="4">
        <v>37</v>
      </c>
      <c r="L127" s="4">
        <v>23</v>
      </c>
      <c r="M127" s="4">
        <v>146</v>
      </c>
      <c r="N127" s="4">
        <v>152</v>
      </c>
      <c r="O127" s="4">
        <v>5.3</v>
      </c>
      <c r="P127" s="4">
        <v>36500</v>
      </c>
      <c r="Q127" s="4">
        <v>1.61</v>
      </c>
      <c r="R127" s="4">
        <v>5.9</v>
      </c>
      <c r="S127" s="4">
        <v>31</v>
      </c>
      <c r="T127" s="4">
        <v>4.2</v>
      </c>
      <c r="U127" s="4">
        <v>454</v>
      </c>
      <c r="V127" s="4">
        <v>1.9</v>
      </c>
      <c r="W127" s="4">
        <v>2.1</v>
      </c>
      <c r="X127" s="4">
        <v>1260</v>
      </c>
      <c r="Y127" s="4">
        <v>0.9</v>
      </c>
      <c r="AA127">
        <f t="shared" si="8"/>
        <v>4.5219036868482112</v>
      </c>
      <c r="AB127">
        <f t="shared" si="7"/>
        <v>71.87811709507794</v>
      </c>
      <c r="AC127">
        <f t="shared" si="9"/>
        <v>0.39622641509433965</v>
      </c>
      <c r="AD127">
        <f t="shared" si="10"/>
        <v>-7.9999999999991189E-3</v>
      </c>
      <c r="AI127" s="94">
        <f t="shared" si="11"/>
        <v>0.40625</v>
      </c>
    </row>
    <row r="128" spans="1:35">
      <c r="A128" s="4">
        <v>123</v>
      </c>
      <c r="B128" s="4" t="s">
        <v>1367</v>
      </c>
      <c r="C128" s="4">
        <v>32</v>
      </c>
      <c r="D128" s="4">
        <v>15</v>
      </c>
      <c r="E128" s="4">
        <v>13</v>
      </c>
      <c r="F128" s="4" t="s">
        <v>1519</v>
      </c>
      <c r="G128" s="4" t="s">
        <v>1527</v>
      </c>
      <c r="H128" s="4">
        <v>7</v>
      </c>
      <c r="I128" s="4">
        <v>24.9</v>
      </c>
      <c r="J128" s="4">
        <v>31.9</v>
      </c>
      <c r="K128" s="4">
        <v>33</v>
      </c>
      <c r="L128" s="4">
        <v>26</v>
      </c>
      <c r="M128" s="4">
        <v>146</v>
      </c>
      <c r="N128" s="4">
        <v>141</v>
      </c>
      <c r="O128" s="4">
        <v>8.1999999999999993</v>
      </c>
      <c r="P128" s="4">
        <v>40000</v>
      </c>
      <c r="Q128" s="4">
        <v>1.44</v>
      </c>
      <c r="R128" s="4">
        <v>5.8</v>
      </c>
      <c r="S128" s="4">
        <v>48</v>
      </c>
      <c r="T128" s="4">
        <v>7</v>
      </c>
      <c r="U128" s="4">
        <v>422</v>
      </c>
      <c r="V128" s="4">
        <v>3</v>
      </c>
      <c r="W128" s="4">
        <v>3.4</v>
      </c>
      <c r="X128" s="4">
        <v>1170</v>
      </c>
      <c r="Y128" s="4">
        <v>0.9</v>
      </c>
      <c r="AA128">
        <f t="shared" si="8"/>
        <v>6.7131017800975599</v>
      </c>
      <c r="AB128">
        <f t="shared" si="7"/>
        <v>39.525089227412472</v>
      </c>
      <c r="AC128">
        <f t="shared" si="9"/>
        <v>0.41463414634146345</v>
      </c>
      <c r="AD128">
        <f t="shared" si="10"/>
        <v>-5.999999999998451E-3</v>
      </c>
      <c r="AI128" s="94">
        <f t="shared" si="11"/>
        <v>0.46875</v>
      </c>
    </row>
    <row r="129" spans="1:35">
      <c r="A129" s="4">
        <v>134</v>
      </c>
      <c r="B129" s="4" t="s">
        <v>1410</v>
      </c>
      <c r="C129" s="4">
        <v>32</v>
      </c>
      <c r="D129" s="4">
        <v>11</v>
      </c>
      <c r="E129" s="4">
        <v>15</v>
      </c>
      <c r="F129" s="4" t="s">
        <v>1518</v>
      </c>
      <c r="G129" s="4" t="s">
        <v>1525</v>
      </c>
      <c r="H129" s="4">
        <v>14.8</v>
      </c>
      <c r="I129" s="4">
        <v>9.4</v>
      </c>
      <c r="J129" s="4">
        <v>24.2</v>
      </c>
      <c r="K129" s="4">
        <v>33</v>
      </c>
      <c r="L129" s="4">
        <v>13</v>
      </c>
      <c r="M129" s="4">
        <v>171</v>
      </c>
      <c r="N129" s="4">
        <v>138</v>
      </c>
      <c r="O129" s="4">
        <v>3.1</v>
      </c>
      <c r="P129" s="4">
        <v>28400</v>
      </c>
      <c r="Q129" s="4">
        <v>1.92</v>
      </c>
      <c r="R129" s="4">
        <v>5.5</v>
      </c>
      <c r="S129" s="4">
        <v>17</v>
      </c>
      <c r="T129" s="4">
        <v>2.8</v>
      </c>
      <c r="U129" s="4">
        <v>374</v>
      </c>
      <c r="V129" s="4">
        <v>1</v>
      </c>
      <c r="W129" s="4">
        <v>1.3</v>
      </c>
      <c r="X129" s="4">
        <v>1110</v>
      </c>
      <c r="Y129" s="4">
        <v>0.8</v>
      </c>
      <c r="AA129">
        <f t="shared" si="8"/>
        <v>3.0132109422707201</v>
      </c>
      <c r="AB129">
        <f t="shared" si="7"/>
        <v>143.68311191449837</v>
      </c>
      <c r="AC129">
        <f t="shared" si="9"/>
        <v>0.41935483870967744</v>
      </c>
      <c r="AD129">
        <f t="shared" si="10"/>
        <v>-6.0000000000002274E-3</v>
      </c>
      <c r="AI129" s="94">
        <f t="shared" si="11"/>
        <v>0.34375</v>
      </c>
    </row>
    <row r="130" spans="1:35">
      <c r="A130" s="4">
        <v>125</v>
      </c>
      <c r="B130" s="4" t="s">
        <v>1342</v>
      </c>
      <c r="C130" s="4">
        <v>32</v>
      </c>
      <c r="D130" s="4">
        <v>14</v>
      </c>
      <c r="E130" s="4">
        <v>16</v>
      </c>
      <c r="F130" s="4" t="s">
        <v>1469</v>
      </c>
      <c r="G130" s="4" t="s">
        <v>1526</v>
      </c>
      <c r="H130" s="4">
        <v>7.5</v>
      </c>
      <c r="I130" s="4">
        <v>18.5</v>
      </c>
      <c r="J130" s="4">
        <v>26</v>
      </c>
      <c r="K130" s="4">
        <v>32</v>
      </c>
      <c r="L130" s="4">
        <v>23</v>
      </c>
      <c r="M130" s="4">
        <v>154</v>
      </c>
      <c r="N130" s="4">
        <v>150</v>
      </c>
      <c r="O130" s="4">
        <v>6</v>
      </c>
      <c r="P130" s="4">
        <v>30000</v>
      </c>
      <c r="Q130" s="4">
        <v>1.8</v>
      </c>
      <c r="R130" s="4">
        <v>5.4</v>
      </c>
      <c r="S130" s="4">
        <v>32</v>
      </c>
      <c r="T130" s="4">
        <v>6.9</v>
      </c>
      <c r="U130" s="4">
        <v>424</v>
      </c>
      <c r="V130" s="4">
        <v>2.9</v>
      </c>
      <c r="W130" s="4">
        <v>2.4</v>
      </c>
      <c r="X130" s="4">
        <v>870</v>
      </c>
      <c r="Y130" s="4">
        <v>1.2</v>
      </c>
      <c r="AA130">
        <f t="shared" si="8"/>
        <v>5.0526595520964479</v>
      </c>
      <c r="AB130">
        <f t="shared" si="7"/>
        <v>119.84426288230516</v>
      </c>
      <c r="AC130">
        <f t="shared" si="9"/>
        <v>0.39999999999999997</v>
      </c>
      <c r="AD130">
        <f t="shared" si="10"/>
        <v>0</v>
      </c>
      <c r="AI130" s="94">
        <f t="shared" si="11"/>
        <v>0.4375</v>
      </c>
    </row>
    <row r="131" spans="1:35">
      <c r="A131" s="4">
        <v>126</v>
      </c>
      <c r="B131" s="4" t="s">
        <v>1342</v>
      </c>
      <c r="C131" s="4">
        <v>32</v>
      </c>
      <c r="D131" s="4">
        <v>16</v>
      </c>
      <c r="E131" s="4">
        <v>17</v>
      </c>
      <c r="F131" s="4" t="s">
        <v>1519</v>
      </c>
      <c r="G131" s="4" t="s">
        <v>1525</v>
      </c>
      <c r="H131" s="4">
        <v>5.9</v>
      </c>
      <c r="I131" s="4">
        <v>25.3</v>
      </c>
      <c r="J131" s="4">
        <v>31.2</v>
      </c>
      <c r="K131" s="4">
        <v>33</v>
      </c>
      <c r="L131" s="4">
        <v>27</v>
      </c>
      <c r="M131" s="4">
        <v>152</v>
      </c>
      <c r="N131" s="4">
        <v>144</v>
      </c>
      <c r="O131" s="4">
        <v>8.3000000000000007</v>
      </c>
      <c r="P131" s="4">
        <v>30200</v>
      </c>
      <c r="Q131" s="4">
        <v>1.91</v>
      </c>
      <c r="R131" s="4">
        <v>5.8</v>
      </c>
      <c r="S131" s="4">
        <v>48</v>
      </c>
      <c r="T131" s="4">
        <v>9.5</v>
      </c>
      <c r="U131" s="4">
        <v>416</v>
      </c>
      <c r="V131" s="4">
        <v>4</v>
      </c>
      <c r="W131" s="4">
        <v>3.4</v>
      </c>
      <c r="X131" s="4">
        <v>870</v>
      </c>
      <c r="Y131" s="4">
        <v>1.2</v>
      </c>
      <c r="AA131">
        <f t="shared" si="8"/>
        <v>6.7131017800975599</v>
      </c>
      <c r="AB131">
        <f t="shared" si="7"/>
        <v>105.82027498663199</v>
      </c>
      <c r="AC131">
        <f t="shared" si="9"/>
        <v>0.4096385542168674</v>
      </c>
      <c r="AD131">
        <f t="shared" si="10"/>
        <v>-4.0000000000013358E-3</v>
      </c>
      <c r="AI131" s="94">
        <f t="shared" si="11"/>
        <v>0.5</v>
      </c>
    </row>
    <row r="132" spans="1:35">
      <c r="A132" s="4">
        <v>127</v>
      </c>
      <c r="B132" s="4" t="s">
        <v>1342</v>
      </c>
      <c r="C132" s="4">
        <v>32</v>
      </c>
      <c r="D132" s="4">
        <v>19</v>
      </c>
      <c r="E132" s="4">
        <v>17</v>
      </c>
      <c r="F132" s="4" t="s">
        <v>1519</v>
      </c>
      <c r="G132" s="4" t="s">
        <v>1527</v>
      </c>
      <c r="H132" s="4">
        <v>5.9</v>
      </c>
      <c r="I132" s="4">
        <v>36.799999999999997</v>
      </c>
      <c r="J132" s="4">
        <v>42.7</v>
      </c>
      <c r="K132" s="4">
        <v>35</v>
      </c>
      <c r="L132" s="4">
        <v>30</v>
      </c>
      <c r="M132" s="4">
        <v>145</v>
      </c>
      <c r="N132" s="4">
        <v>137</v>
      </c>
      <c r="O132" s="4">
        <v>12.8</v>
      </c>
      <c r="P132" s="4">
        <v>24800</v>
      </c>
      <c r="Q132" s="4">
        <v>2.09</v>
      </c>
      <c r="R132" s="4">
        <v>5.2</v>
      </c>
      <c r="S132" s="4">
        <v>67</v>
      </c>
      <c r="T132" s="4">
        <v>14.8</v>
      </c>
      <c r="U132" s="4">
        <v>377</v>
      </c>
      <c r="V132" s="4">
        <v>5.6</v>
      </c>
      <c r="W132" s="4">
        <v>5.4</v>
      </c>
      <c r="X132" s="4">
        <v>860</v>
      </c>
      <c r="Y132" s="4">
        <v>1</v>
      </c>
      <c r="AA132">
        <f t="shared" si="8"/>
        <v>9.6449665760638261</v>
      </c>
      <c r="AB132">
        <f t="shared" si="7"/>
        <v>54.096516667218275</v>
      </c>
      <c r="AC132">
        <f t="shared" si="9"/>
        <v>0.421875</v>
      </c>
      <c r="AD132">
        <f t="shared" si="10"/>
        <v>-1.9999999999988916E-3</v>
      </c>
      <c r="AI132" s="94">
        <f t="shared" si="11"/>
        <v>0.59375</v>
      </c>
    </row>
    <row r="133" spans="1:35">
      <c r="A133" s="4">
        <v>128</v>
      </c>
      <c r="B133" s="4" t="s">
        <v>1411</v>
      </c>
      <c r="C133" s="4">
        <v>32</v>
      </c>
      <c r="D133" s="4">
        <v>13</v>
      </c>
      <c r="E133" s="4">
        <v>15</v>
      </c>
      <c r="F133" s="4" t="s">
        <v>1518</v>
      </c>
      <c r="G133" s="4" t="s">
        <v>1527</v>
      </c>
      <c r="H133" s="4">
        <v>9</v>
      </c>
      <c r="I133" s="4">
        <v>13.4</v>
      </c>
      <c r="J133" s="4">
        <v>22.4</v>
      </c>
      <c r="K133" s="4">
        <v>26</v>
      </c>
      <c r="L133" s="4">
        <v>16</v>
      </c>
      <c r="M133" s="4">
        <v>161</v>
      </c>
      <c r="N133" s="4">
        <v>150</v>
      </c>
      <c r="O133" s="4">
        <v>3.5</v>
      </c>
      <c r="P133" s="4">
        <v>30000</v>
      </c>
      <c r="Q133" s="4">
        <v>1.78</v>
      </c>
      <c r="R133" s="4">
        <v>5.3</v>
      </c>
      <c r="S133" s="4">
        <v>19</v>
      </c>
      <c r="T133" s="4">
        <v>4.0999999999999996</v>
      </c>
      <c r="U133" s="4">
        <v>441</v>
      </c>
      <c r="V133" s="4">
        <v>1.8</v>
      </c>
      <c r="W133" s="4">
        <v>1.4</v>
      </c>
      <c r="X133" s="4">
        <v>850</v>
      </c>
      <c r="Y133" s="4">
        <v>1.3</v>
      </c>
      <c r="AA133">
        <f t="shared" si="8"/>
        <v>3.2103621121933634</v>
      </c>
      <c r="AB133">
        <f t="shared" si="7"/>
        <v>138.99556152560572</v>
      </c>
      <c r="AC133">
        <f t="shared" si="9"/>
        <v>0.39999999999999997</v>
      </c>
      <c r="AD133">
        <f t="shared" si="10"/>
        <v>0</v>
      </c>
      <c r="AI133" s="94">
        <f t="shared" si="11"/>
        <v>0.40625</v>
      </c>
    </row>
    <row r="134" spans="1:35">
      <c r="A134" s="4">
        <v>129</v>
      </c>
      <c r="B134" s="4" t="s">
        <v>1369</v>
      </c>
      <c r="C134" s="4">
        <v>32</v>
      </c>
      <c r="D134" s="4">
        <v>15</v>
      </c>
      <c r="E134" s="4">
        <v>16</v>
      </c>
      <c r="F134" s="4" t="s">
        <v>1469</v>
      </c>
      <c r="G134" s="4" t="s">
        <v>1526</v>
      </c>
      <c r="H134" s="4">
        <v>8</v>
      </c>
      <c r="I134" s="4">
        <v>14.4</v>
      </c>
      <c r="J134" s="4">
        <v>22.4</v>
      </c>
      <c r="K134" s="4">
        <v>34</v>
      </c>
      <c r="L134" s="4">
        <v>22</v>
      </c>
      <c r="M134" s="4">
        <v>161</v>
      </c>
      <c r="N134" s="4">
        <v>158</v>
      </c>
      <c r="O134" s="4">
        <v>4.9000000000000004</v>
      </c>
      <c r="P134" s="4">
        <v>28800</v>
      </c>
      <c r="Q134" s="4">
        <v>1.98</v>
      </c>
      <c r="R134" s="4">
        <v>5.7</v>
      </c>
      <c r="S134" s="4">
        <v>28</v>
      </c>
      <c r="T134" s="4">
        <v>5.8</v>
      </c>
      <c r="U134" s="4">
        <v>440</v>
      </c>
      <c r="V134" s="4">
        <v>2.6</v>
      </c>
      <c r="W134" s="4">
        <v>1.9</v>
      </c>
      <c r="X134" s="4">
        <v>840</v>
      </c>
      <c r="Y134" s="4">
        <v>1.4</v>
      </c>
      <c r="AA134">
        <f t="shared" si="8"/>
        <v>4.1583133502245184</v>
      </c>
      <c r="AB134">
        <f t="shared" ref="AB134:AB197" si="12">(E134-AA134)^2</f>
        <v>140.22554271147089</v>
      </c>
      <c r="AC134">
        <f t="shared" si="9"/>
        <v>0.38775510204081626</v>
      </c>
      <c r="AD134">
        <f t="shared" si="10"/>
        <v>1.9999999999997797E-3</v>
      </c>
      <c r="AI134" s="94">
        <f t="shared" si="11"/>
        <v>0.46875</v>
      </c>
    </row>
    <row r="135" spans="1:35">
      <c r="A135" s="4">
        <v>130</v>
      </c>
      <c r="B135" s="4" t="s">
        <v>1369</v>
      </c>
      <c r="C135" s="4">
        <v>32</v>
      </c>
      <c r="D135" s="4">
        <v>17</v>
      </c>
      <c r="E135" s="4">
        <v>18</v>
      </c>
      <c r="F135" s="4" t="s">
        <v>1519</v>
      </c>
      <c r="G135" s="4" t="s">
        <v>1526</v>
      </c>
      <c r="H135" s="4">
        <v>5.6</v>
      </c>
      <c r="I135" s="4">
        <v>34.4</v>
      </c>
      <c r="J135" s="4">
        <v>40</v>
      </c>
      <c r="K135" s="4">
        <v>30</v>
      </c>
      <c r="L135" s="4">
        <v>26</v>
      </c>
      <c r="M135" s="4">
        <v>157</v>
      </c>
      <c r="N135" s="4">
        <v>155</v>
      </c>
      <c r="O135" s="4">
        <v>10.199999999999999</v>
      </c>
      <c r="P135" s="4">
        <v>27800</v>
      </c>
      <c r="Q135" s="4">
        <v>1.97</v>
      </c>
      <c r="R135" s="4">
        <v>5.5</v>
      </c>
      <c r="S135" s="4">
        <v>56</v>
      </c>
      <c r="T135" s="4">
        <v>13.4</v>
      </c>
      <c r="U135" s="4">
        <v>401</v>
      </c>
      <c r="V135" s="4">
        <v>5.4</v>
      </c>
      <c r="W135" s="4">
        <v>4</v>
      </c>
      <c r="X135" s="4">
        <v>760</v>
      </c>
      <c r="Y135" s="4">
        <v>1.3</v>
      </c>
      <c r="AA135">
        <f t="shared" ref="AA135:AA198" si="13">$AB$3/($AB$4+W135^$AB$5)</f>
        <v>7.6411802321113607</v>
      </c>
      <c r="AB135">
        <f t="shared" si="12"/>
        <v>107.30514698360047</v>
      </c>
      <c r="AC135">
        <f t="shared" ref="AC135:AC198" si="14">W135/O135</f>
        <v>0.39215686274509809</v>
      </c>
      <c r="AD135">
        <f t="shared" ref="AD135:AD198" si="15">W135*(1+N135/100)-O135</f>
        <v>0</v>
      </c>
      <c r="AI135" s="94">
        <f t="shared" ref="AI135:AI198" si="16">D135/C135</f>
        <v>0.53125</v>
      </c>
    </row>
    <row r="136" spans="1:35">
      <c r="A136" s="4">
        <v>131</v>
      </c>
      <c r="B136" s="4" t="s">
        <v>1369</v>
      </c>
      <c r="C136" s="4">
        <v>32</v>
      </c>
      <c r="D136" s="4">
        <v>21</v>
      </c>
      <c r="E136" s="4">
        <v>18</v>
      </c>
      <c r="F136" s="4" t="s">
        <v>1519</v>
      </c>
      <c r="G136" s="4" t="s">
        <v>1527</v>
      </c>
      <c r="H136" s="4">
        <v>6.1</v>
      </c>
      <c r="I136" s="4">
        <v>47.8</v>
      </c>
      <c r="J136" s="4">
        <v>53.9</v>
      </c>
      <c r="K136" s="4">
        <v>34</v>
      </c>
      <c r="L136" s="4">
        <v>30</v>
      </c>
      <c r="M136" s="4">
        <v>151</v>
      </c>
      <c r="N136" s="4">
        <v>151</v>
      </c>
      <c r="O136" s="4">
        <v>16.3</v>
      </c>
      <c r="P136" s="4">
        <v>25500</v>
      </c>
      <c r="Q136" s="4">
        <v>2.13</v>
      </c>
      <c r="R136" s="4">
        <v>5.4</v>
      </c>
      <c r="S136" s="4">
        <v>88</v>
      </c>
      <c r="T136" s="4">
        <v>15.5</v>
      </c>
      <c r="U136" s="4">
        <v>391</v>
      </c>
      <c r="V136" s="4">
        <v>6.1</v>
      </c>
      <c r="W136" s="4">
        <v>6.5</v>
      </c>
      <c r="X136" s="4">
        <v>1050</v>
      </c>
      <c r="Y136" s="4">
        <v>0.9</v>
      </c>
      <c r="AA136">
        <f t="shared" si="13"/>
        <v>11.085759173776864</v>
      </c>
      <c r="AB136">
        <f t="shared" si="12"/>
        <v>47.80672620301079</v>
      </c>
      <c r="AC136">
        <f t="shared" si="14"/>
        <v>0.3987730061349693</v>
      </c>
      <c r="AD136">
        <f t="shared" si="15"/>
        <v>1.4999999999997016E-2</v>
      </c>
      <c r="AI136" s="94">
        <f t="shared" si="16"/>
        <v>0.65625</v>
      </c>
    </row>
    <row r="137" spans="1:35">
      <c r="A137" s="4">
        <v>132</v>
      </c>
      <c r="B137" s="4" t="s">
        <v>1412</v>
      </c>
      <c r="C137" s="4">
        <v>32</v>
      </c>
      <c r="D137" s="4">
        <v>11</v>
      </c>
      <c r="E137" s="4">
        <v>15</v>
      </c>
      <c r="F137" s="4" t="s">
        <v>1518</v>
      </c>
      <c r="G137" s="4" t="s">
        <v>1525</v>
      </c>
      <c r="H137" s="4">
        <v>10.6</v>
      </c>
      <c r="I137" s="4">
        <v>8</v>
      </c>
      <c r="J137" s="4">
        <v>18.600000000000001</v>
      </c>
      <c r="K137" s="4">
        <v>39</v>
      </c>
      <c r="L137" s="4">
        <v>17</v>
      </c>
      <c r="M137" s="4">
        <v>168</v>
      </c>
      <c r="N137" s="4">
        <v>138</v>
      </c>
      <c r="O137" s="4">
        <v>3.1</v>
      </c>
      <c r="P137" s="4">
        <v>32000</v>
      </c>
      <c r="Q137" s="4">
        <v>1.85</v>
      </c>
      <c r="R137" s="4">
        <v>5.9</v>
      </c>
      <c r="S137" s="4">
        <v>18</v>
      </c>
      <c r="T137" s="4">
        <v>4.0999999999999996</v>
      </c>
      <c r="U137" s="4">
        <v>393</v>
      </c>
      <c r="V137" s="4">
        <v>1.6</v>
      </c>
      <c r="W137" s="4">
        <v>1.3</v>
      </c>
      <c r="X137" s="4">
        <v>760</v>
      </c>
      <c r="Y137" s="4">
        <v>1.2</v>
      </c>
      <c r="AA137">
        <f t="shared" si="13"/>
        <v>3.0132109422707201</v>
      </c>
      <c r="AB137">
        <f t="shared" si="12"/>
        <v>143.68311191449837</v>
      </c>
      <c r="AC137">
        <f t="shared" si="14"/>
        <v>0.41935483870967744</v>
      </c>
      <c r="AD137">
        <f t="shared" si="15"/>
        <v>-6.0000000000002274E-3</v>
      </c>
      <c r="AI137" s="94">
        <f t="shared" si="16"/>
        <v>0.34375</v>
      </c>
    </row>
    <row r="138" spans="1:35">
      <c r="A138" s="4">
        <v>133</v>
      </c>
      <c r="B138" s="4" t="s">
        <v>1413</v>
      </c>
      <c r="C138" s="4">
        <v>32</v>
      </c>
      <c r="D138" s="4">
        <v>14</v>
      </c>
      <c r="E138" s="4">
        <v>16</v>
      </c>
      <c r="F138" s="4" t="s">
        <v>1469</v>
      </c>
      <c r="G138" s="4" t="s">
        <v>1526</v>
      </c>
      <c r="H138" s="4" t="s">
        <v>1414</v>
      </c>
      <c r="I138" s="4">
        <v>12.6</v>
      </c>
      <c r="J138" s="4">
        <v>20.3</v>
      </c>
      <c r="K138" s="4">
        <v>33</v>
      </c>
      <c r="L138" s="4">
        <v>21</v>
      </c>
      <c r="M138" s="4">
        <v>155</v>
      </c>
      <c r="N138" s="4">
        <v>147</v>
      </c>
      <c r="O138" s="4">
        <v>4.2</v>
      </c>
      <c r="P138" s="4">
        <v>28800</v>
      </c>
      <c r="Q138" s="4">
        <v>1.97</v>
      </c>
      <c r="R138" s="4">
        <v>5.7</v>
      </c>
      <c r="S138" s="4">
        <v>24</v>
      </c>
      <c r="T138" s="4">
        <v>5.6</v>
      </c>
      <c r="U138" s="4">
        <v>414</v>
      </c>
      <c r="V138" s="4">
        <v>2.2999999999999998</v>
      </c>
      <c r="W138" s="4">
        <v>1.7</v>
      </c>
      <c r="X138" s="4">
        <v>750</v>
      </c>
      <c r="Y138" s="4">
        <v>1.4</v>
      </c>
      <c r="AA138">
        <f t="shared" si="13"/>
        <v>3.7862053935693911</v>
      </c>
      <c r="AB138">
        <f t="shared" si="12"/>
        <v>149.17677868807343</v>
      </c>
      <c r="AC138">
        <f t="shared" si="14"/>
        <v>0.40476190476190471</v>
      </c>
      <c r="AD138">
        <f t="shared" si="15"/>
        <v>-1.000000000000334E-3</v>
      </c>
      <c r="AI138" s="94">
        <f t="shared" si="16"/>
        <v>0.4375</v>
      </c>
    </row>
    <row r="139" spans="1:35">
      <c r="A139" s="4">
        <v>134</v>
      </c>
      <c r="B139" s="4" t="s">
        <v>1395</v>
      </c>
      <c r="C139" s="4">
        <v>32</v>
      </c>
      <c r="D139" s="4">
        <v>15</v>
      </c>
      <c r="E139" s="4">
        <v>16</v>
      </c>
      <c r="F139" s="4" t="s">
        <v>1519</v>
      </c>
      <c r="G139" s="4" t="s">
        <v>1525</v>
      </c>
      <c r="H139" s="4">
        <v>6.6</v>
      </c>
      <c r="I139" s="4">
        <v>30.3</v>
      </c>
      <c r="J139" s="4">
        <v>36.9</v>
      </c>
      <c r="K139" s="4">
        <v>30</v>
      </c>
      <c r="L139" s="4">
        <v>25</v>
      </c>
      <c r="M139" s="4">
        <v>140</v>
      </c>
      <c r="N139" s="4">
        <v>139</v>
      </c>
      <c r="O139" s="4">
        <v>9.1</v>
      </c>
      <c r="P139" s="4">
        <v>38100</v>
      </c>
      <c r="Q139" s="4">
        <v>1.54</v>
      </c>
      <c r="R139" s="4">
        <v>5.8</v>
      </c>
      <c r="S139" s="4">
        <v>53</v>
      </c>
      <c r="T139" s="4">
        <v>9.3000000000000007</v>
      </c>
      <c r="U139" s="4">
        <v>406</v>
      </c>
      <c r="V139" s="4">
        <v>3.8</v>
      </c>
      <c r="W139" s="4">
        <v>3.8</v>
      </c>
      <c r="X139" s="4">
        <v>980</v>
      </c>
      <c r="Y139" s="4">
        <v>1</v>
      </c>
      <c r="AA139">
        <f t="shared" si="13"/>
        <v>7.3369192752942318</v>
      </c>
      <c r="AB139">
        <f t="shared" si="12"/>
        <v>75.048967642768616</v>
      </c>
      <c r="AC139">
        <f t="shared" si="14"/>
        <v>0.4175824175824176</v>
      </c>
      <c r="AD139">
        <f t="shared" si="15"/>
        <v>-1.8000000000000682E-2</v>
      </c>
      <c r="AI139" s="94">
        <f t="shared" si="16"/>
        <v>0.46875</v>
      </c>
    </row>
    <row r="140" spans="1:35">
      <c r="A140" s="4">
        <v>135</v>
      </c>
      <c r="B140" s="4" t="s">
        <v>1395</v>
      </c>
      <c r="C140" s="4">
        <v>32</v>
      </c>
      <c r="D140" s="4">
        <v>19</v>
      </c>
      <c r="E140" s="4">
        <v>18</v>
      </c>
      <c r="F140" s="4" t="s">
        <v>1519</v>
      </c>
      <c r="G140" s="4" t="s">
        <v>1527</v>
      </c>
      <c r="H140" s="4">
        <v>7</v>
      </c>
      <c r="I140" s="4">
        <v>60.1</v>
      </c>
      <c r="J140" s="4">
        <v>67.099999999999994</v>
      </c>
      <c r="K140" s="4">
        <v>25</v>
      </c>
      <c r="L140" s="4">
        <v>22</v>
      </c>
      <c r="M140" s="4">
        <v>139</v>
      </c>
      <c r="N140" s="4">
        <v>135</v>
      </c>
      <c r="O140" s="4">
        <v>14.8</v>
      </c>
      <c r="P140" s="4">
        <v>21600</v>
      </c>
      <c r="Q140" s="4">
        <v>2.29</v>
      </c>
      <c r="R140" s="4">
        <v>4.9000000000000004</v>
      </c>
      <c r="S140" s="4">
        <v>73</v>
      </c>
      <c r="T140" s="4">
        <v>16.3</v>
      </c>
      <c r="U140" s="4">
        <v>387</v>
      </c>
      <c r="V140" s="4">
        <v>6.3</v>
      </c>
      <c r="W140" s="4">
        <v>6.3</v>
      </c>
      <c r="X140" s="4">
        <v>910</v>
      </c>
      <c r="Y140" s="4">
        <v>1</v>
      </c>
      <c r="AA140">
        <f t="shared" si="13"/>
        <v>10.831577017586472</v>
      </c>
      <c r="AB140">
        <f t="shared" si="12"/>
        <v>51.386288054794456</v>
      </c>
      <c r="AC140">
        <f t="shared" si="14"/>
        <v>0.42567567567567566</v>
      </c>
      <c r="AD140">
        <f t="shared" si="15"/>
        <v>4.9999999999990052E-3</v>
      </c>
      <c r="AI140" s="94">
        <f t="shared" si="16"/>
        <v>0.59375</v>
      </c>
    </row>
    <row r="141" spans="1:35">
      <c r="A141" s="4">
        <v>136</v>
      </c>
      <c r="B141" s="4" t="s">
        <v>1415</v>
      </c>
      <c r="C141" s="4">
        <v>32</v>
      </c>
      <c r="D141" s="4">
        <v>8</v>
      </c>
      <c r="E141" s="4">
        <v>11</v>
      </c>
      <c r="F141" s="4" t="s">
        <v>1518</v>
      </c>
      <c r="G141" s="4" t="s">
        <v>1524</v>
      </c>
      <c r="H141" s="4">
        <v>16.399999999999999</v>
      </c>
      <c r="I141" s="4">
        <v>3.5</v>
      </c>
      <c r="J141" s="4">
        <v>19.899999999999999</v>
      </c>
      <c r="K141" s="4">
        <v>37</v>
      </c>
      <c r="L141" s="4">
        <v>7</v>
      </c>
      <c r="M141" s="4">
        <v>154</v>
      </c>
      <c r="N141" s="4">
        <v>160</v>
      </c>
      <c r="O141" s="4">
        <v>1.3</v>
      </c>
      <c r="P141" s="4">
        <v>49000</v>
      </c>
      <c r="Q141" s="4">
        <v>1.26</v>
      </c>
      <c r="R141" s="4">
        <v>6.2</v>
      </c>
      <c r="S141" s="4">
        <v>8</v>
      </c>
      <c r="T141" s="4">
        <v>1.5</v>
      </c>
      <c r="U141" s="4">
        <v>383</v>
      </c>
      <c r="V141" s="4">
        <v>0.6</v>
      </c>
      <c r="W141" s="4">
        <v>0.5</v>
      </c>
      <c r="X141" s="4">
        <v>870</v>
      </c>
      <c r="Y141" s="4">
        <v>1.2</v>
      </c>
      <c r="AA141">
        <f t="shared" si="13"/>
        <v>1.3116020233300847</v>
      </c>
      <c r="AB141">
        <f t="shared" si="12"/>
        <v>93.865055354341706</v>
      </c>
      <c r="AC141">
        <f t="shared" si="14"/>
        <v>0.38461538461538458</v>
      </c>
      <c r="AD141">
        <f t="shared" si="15"/>
        <v>0</v>
      </c>
      <c r="AI141" s="94">
        <f t="shared" si="16"/>
        <v>0.25</v>
      </c>
    </row>
    <row r="142" spans="1:35">
      <c r="A142" s="4">
        <v>137</v>
      </c>
      <c r="B142" s="4" t="s">
        <v>1416</v>
      </c>
      <c r="C142" s="4">
        <v>32</v>
      </c>
      <c r="D142" s="4">
        <v>10</v>
      </c>
      <c r="E142" s="4">
        <v>12</v>
      </c>
      <c r="F142" s="4" t="s">
        <v>1469</v>
      </c>
      <c r="G142" s="4" t="s">
        <v>1526</v>
      </c>
      <c r="H142" s="4">
        <v>12.5</v>
      </c>
      <c r="I142" s="4">
        <v>8.1999999999999993</v>
      </c>
      <c r="J142" s="4">
        <v>20.7</v>
      </c>
      <c r="K142" s="4">
        <v>35</v>
      </c>
      <c r="L142" s="4">
        <v>14</v>
      </c>
      <c r="M142" s="4">
        <v>145</v>
      </c>
      <c r="N142" s="4">
        <v>142</v>
      </c>
      <c r="O142" s="4">
        <v>2.9</v>
      </c>
      <c r="P142" s="4">
        <v>36100</v>
      </c>
      <c r="Q142" s="4">
        <v>1.65</v>
      </c>
      <c r="R142" s="4">
        <v>6</v>
      </c>
      <c r="S142" s="4">
        <v>17</v>
      </c>
      <c r="T142" s="4">
        <v>2.8</v>
      </c>
      <c r="U142" s="4">
        <v>423</v>
      </c>
      <c r="V142" s="4">
        <v>1.2</v>
      </c>
      <c r="W142" s="4">
        <v>1.2</v>
      </c>
      <c r="X142" s="4">
        <v>1040</v>
      </c>
      <c r="Y142" s="4">
        <v>1</v>
      </c>
      <c r="AA142">
        <f t="shared" si="13"/>
        <v>2.8132049465737783</v>
      </c>
      <c r="AB142">
        <f t="shared" si="12"/>
        <v>84.397203353656494</v>
      </c>
      <c r="AC142">
        <f t="shared" si="14"/>
        <v>0.41379310344827586</v>
      </c>
      <c r="AD142">
        <f t="shared" si="15"/>
        <v>4.0000000000000036E-3</v>
      </c>
      <c r="AI142" s="94">
        <f t="shared" si="16"/>
        <v>0.3125</v>
      </c>
    </row>
    <row r="143" spans="1:35">
      <c r="A143" s="4">
        <v>138</v>
      </c>
      <c r="B143" s="4" t="s">
        <v>1416</v>
      </c>
      <c r="C143" s="4">
        <v>32</v>
      </c>
      <c r="D143" s="4">
        <v>12</v>
      </c>
      <c r="E143" s="4">
        <v>13</v>
      </c>
      <c r="F143" s="4" t="s">
        <v>1519</v>
      </c>
      <c r="G143" s="4" t="s">
        <v>1524</v>
      </c>
      <c r="H143" s="4">
        <v>6.1</v>
      </c>
      <c r="I143" s="4">
        <v>11.7</v>
      </c>
      <c r="J143" s="4">
        <v>17.8</v>
      </c>
      <c r="K143" s="4">
        <v>35</v>
      </c>
      <c r="L143" s="4">
        <v>23</v>
      </c>
      <c r="M143" s="4">
        <v>160</v>
      </c>
      <c r="N143" s="4">
        <v>141</v>
      </c>
      <c r="O143" s="4">
        <v>4.0999999999999996</v>
      </c>
      <c r="P143" s="4">
        <v>47500</v>
      </c>
      <c r="Q143" s="4">
        <v>1.28</v>
      </c>
      <c r="R143" s="4">
        <v>6.1</v>
      </c>
      <c r="S143" s="4">
        <v>25</v>
      </c>
      <c r="T143" s="4">
        <v>4.8</v>
      </c>
      <c r="U143" s="4">
        <v>389</v>
      </c>
      <c r="V143" s="4">
        <v>1.9</v>
      </c>
      <c r="W143" s="4">
        <v>1.7</v>
      </c>
      <c r="X143" s="4">
        <v>850</v>
      </c>
      <c r="Y143" s="4">
        <v>1.1000000000000001</v>
      </c>
      <c r="AA143">
        <f t="shared" si="13"/>
        <v>3.7862053935693911</v>
      </c>
      <c r="AB143">
        <f t="shared" si="12"/>
        <v>84.894011049489777</v>
      </c>
      <c r="AC143">
        <f t="shared" si="14"/>
        <v>0.41463414634146345</v>
      </c>
      <c r="AD143">
        <f t="shared" si="15"/>
        <v>-2.9999999999992255E-3</v>
      </c>
      <c r="AI143" s="94">
        <f t="shared" si="16"/>
        <v>0.375</v>
      </c>
    </row>
    <row r="144" spans="1:35">
      <c r="A144" s="4">
        <v>139</v>
      </c>
      <c r="B144" s="4" t="s">
        <v>1416</v>
      </c>
      <c r="C144" s="4">
        <v>32</v>
      </c>
      <c r="D144" s="4">
        <v>14</v>
      </c>
      <c r="E144" s="4">
        <v>15</v>
      </c>
      <c r="F144" s="4" t="s">
        <v>1519</v>
      </c>
      <c r="G144" s="4" t="s">
        <v>1525</v>
      </c>
      <c r="H144" s="4">
        <v>6.6</v>
      </c>
      <c r="I144" s="4">
        <v>21.2</v>
      </c>
      <c r="J144" s="4">
        <v>27.8</v>
      </c>
      <c r="K144" s="4">
        <v>36</v>
      </c>
      <c r="L144" s="4">
        <v>28</v>
      </c>
      <c r="M144" s="4">
        <v>140</v>
      </c>
      <c r="N144" s="4">
        <v>141</v>
      </c>
      <c r="O144" s="4">
        <v>7.7</v>
      </c>
      <c r="P144" s="4">
        <v>33800</v>
      </c>
      <c r="Q144" s="4">
        <v>1.71</v>
      </c>
      <c r="R144" s="4">
        <v>5.8</v>
      </c>
      <c r="S144" s="4">
        <v>45</v>
      </c>
      <c r="T144" s="4">
        <v>7.5</v>
      </c>
      <c r="U144" s="4">
        <v>434</v>
      </c>
      <c r="V144" s="4">
        <v>3.3</v>
      </c>
      <c r="W144" s="4">
        <v>3.2</v>
      </c>
      <c r="X144" s="4">
        <v>1030</v>
      </c>
      <c r="Y144" s="4">
        <v>1</v>
      </c>
      <c r="AA144">
        <f t="shared" si="13"/>
        <v>6.3930966701671688</v>
      </c>
      <c r="AB144">
        <f t="shared" si="12"/>
        <v>74.07878492908749</v>
      </c>
      <c r="AC144">
        <f t="shared" si="14"/>
        <v>0.41558441558441561</v>
      </c>
      <c r="AD144">
        <f t="shared" si="15"/>
        <v>1.2000000000000455E-2</v>
      </c>
      <c r="AI144" s="94">
        <f t="shared" si="16"/>
        <v>0.4375</v>
      </c>
    </row>
    <row r="145" spans="1:35">
      <c r="A145" s="4">
        <v>140</v>
      </c>
      <c r="B145" s="4" t="s">
        <v>1417</v>
      </c>
      <c r="C145" s="4">
        <v>33</v>
      </c>
      <c r="D145" s="4">
        <v>8</v>
      </c>
      <c r="E145" s="4">
        <v>5</v>
      </c>
      <c r="F145" s="4" t="s">
        <v>1469</v>
      </c>
      <c r="G145" s="4" t="s">
        <v>1528</v>
      </c>
      <c r="H145" s="4">
        <v>3</v>
      </c>
      <c r="I145" s="4">
        <v>3.6</v>
      </c>
      <c r="J145" s="4">
        <v>6.6</v>
      </c>
      <c r="K145" s="4">
        <v>36</v>
      </c>
      <c r="L145" s="4">
        <v>20</v>
      </c>
      <c r="M145" s="4">
        <v>134</v>
      </c>
      <c r="N145" s="4">
        <v>124</v>
      </c>
      <c r="O145" s="4">
        <v>1.3</v>
      </c>
      <c r="P145" s="4">
        <v>59300</v>
      </c>
      <c r="Q145" s="4">
        <v>0.9</v>
      </c>
      <c r="R145" s="4">
        <v>5.3</v>
      </c>
      <c r="S145" s="4">
        <v>7</v>
      </c>
      <c r="T145" s="4">
        <v>0.5</v>
      </c>
      <c r="U145" s="4">
        <v>350</v>
      </c>
      <c r="V145" s="4">
        <v>0.2</v>
      </c>
      <c r="W145" s="4">
        <v>0.6</v>
      </c>
      <c r="X145" s="4">
        <v>2420</v>
      </c>
      <c r="Y145" s="4">
        <v>0.3</v>
      </c>
      <c r="AA145">
        <f t="shared" si="13"/>
        <v>1.5397245602965435</v>
      </c>
      <c r="AB145">
        <f t="shared" si="12"/>
        <v>11.973506118614949</v>
      </c>
      <c r="AC145">
        <f t="shared" si="14"/>
        <v>0.46153846153846151</v>
      </c>
      <c r="AD145">
        <f t="shared" si="15"/>
        <v>4.4000000000000039E-2</v>
      </c>
      <c r="AI145" s="94">
        <f t="shared" si="16"/>
        <v>0.24242424242424243</v>
      </c>
    </row>
    <row r="146" spans="1:35">
      <c r="A146" s="4">
        <v>141</v>
      </c>
      <c r="B146" s="4" t="s">
        <v>1418</v>
      </c>
      <c r="C146" s="4">
        <v>33</v>
      </c>
      <c r="D146" s="4">
        <v>10</v>
      </c>
      <c r="E146" s="4">
        <v>6</v>
      </c>
      <c r="F146" s="4" t="s">
        <v>1469</v>
      </c>
      <c r="G146" s="4" t="s">
        <v>1526</v>
      </c>
      <c r="H146" s="4">
        <v>2.4</v>
      </c>
      <c r="I146" s="4">
        <v>9.9</v>
      </c>
      <c r="J146" s="4">
        <v>12.3</v>
      </c>
      <c r="K146" s="4">
        <v>31</v>
      </c>
      <c r="L146" s="4">
        <v>25</v>
      </c>
      <c r="M146" s="4">
        <v>121</v>
      </c>
      <c r="N146" s="4">
        <v>121</v>
      </c>
      <c r="O146" s="4">
        <v>3.1</v>
      </c>
      <c r="P146" s="4">
        <v>86800</v>
      </c>
      <c r="Q146" s="4">
        <v>0.8</v>
      </c>
      <c r="R146" s="4">
        <v>6.9</v>
      </c>
      <c r="S146" s="4">
        <v>21</v>
      </c>
      <c r="T146" s="4">
        <v>1.3</v>
      </c>
      <c r="U146" s="4">
        <v>335</v>
      </c>
      <c r="V146" s="4">
        <v>0.4</v>
      </c>
      <c r="W146" s="4">
        <v>1.4</v>
      </c>
      <c r="X146" s="4">
        <v>2390</v>
      </c>
      <c r="Y146" s="4">
        <v>0.3</v>
      </c>
      <c r="AA146">
        <f t="shared" si="13"/>
        <v>3.2103621121933634</v>
      </c>
      <c r="AB146">
        <f t="shared" si="12"/>
        <v>7.7820795450862725</v>
      </c>
      <c r="AC146">
        <f t="shared" si="14"/>
        <v>0.45161290322580638</v>
      </c>
      <c r="AD146">
        <f t="shared" si="15"/>
        <v>-6.0000000000002274E-3</v>
      </c>
      <c r="AI146" s="94">
        <f t="shared" si="16"/>
        <v>0.30303030303030304</v>
      </c>
    </row>
    <row r="147" spans="1:35">
      <c r="A147" s="4">
        <v>142</v>
      </c>
      <c r="B147" s="4" t="s">
        <v>1419</v>
      </c>
      <c r="C147" s="4">
        <v>33</v>
      </c>
      <c r="D147" s="4">
        <v>12</v>
      </c>
      <c r="E147" s="4">
        <v>6</v>
      </c>
      <c r="F147" s="4" t="s">
        <v>1519</v>
      </c>
      <c r="G147" s="4" t="s">
        <v>1528</v>
      </c>
      <c r="H147" s="4">
        <v>2.2000000000000002</v>
      </c>
      <c r="I147" s="4">
        <v>12.7</v>
      </c>
      <c r="J147" s="4">
        <v>14.9</v>
      </c>
      <c r="K147" s="4">
        <v>32</v>
      </c>
      <c r="L147" s="4">
        <v>28</v>
      </c>
      <c r="M147" s="4">
        <v>129</v>
      </c>
      <c r="N147" s="4">
        <v>124</v>
      </c>
      <c r="O147" s="4">
        <v>4.0999999999999996</v>
      </c>
      <c r="P147" s="4">
        <v>59700</v>
      </c>
      <c r="Q147" s="4">
        <v>0.9</v>
      </c>
      <c r="R147" s="4">
        <v>5.4</v>
      </c>
      <c r="S147" s="4">
        <v>22</v>
      </c>
      <c r="T147" s="4">
        <v>1.5</v>
      </c>
      <c r="U147" s="4">
        <v>320</v>
      </c>
      <c r="V147" s="4">
        <v>0.5</v>
      </c>
      <c r="W147" s="4">
        <v>1.8</v>
      </c>
      <c r="X147" s="4">
        <v>2750</v>
      </c>
      <c r="Y147" s="4">
        <v>0.3</v>
      </c>
      <c r="AA147">
        <f t="shared" si="13"/>
        <v>3.9733679043303689</v>
      </c>
      <c r="AB147">
        <f t="shared" si="12"/>
        <v>4.1072376511982807</v>
      </c>
      <c r="AC147">
        <f t="shared" si="14"/>
        <v>0.4390243902439025</v>
      </c>
      <c r="AD147">
        <f t="shared" si="15"/>
        <v>-6.7999999999998728E-2</v>
      </c>
      <c r="AI147" s="94">
        <f t="shared" si="16"/>
        <v>0.36363636363636365</v>
      </c>
    </row>
    <row r="148" spans="1:35">
      <c r="A148" s="4">
        <v>143</v>
      </c>
      <c r="B148" s="4" t="s">
        <v>1416</v>
      </c>
      <c r="C148" s="4">
        <v>33</v>
      </c>
      <c r="D148" s="4">
        <v>14</v>
      </c>
      <c r="E148" s="4">
        <v>6</v>
      </c>
      <c r="F148" s="4" t="s">
        <v>1519</v>
      </c>
      <c r="G148" s="4" t="s">
        <v>1526</v>
      </c>
      <c r="H148" s="4">
        <v>1.7</v>
      </c>
      <c r="I148" s="4">
        <v>32.1</v>
      </c>
      <c r="J148" s="4">
        <v>33.799999999999997</v>
      </c>
      <c r="K148" s="4">
        <v>26</v>
      </c>
      <c r="L148" s="4">
        <v>25</v>
      </c>
      <c r="M148" s="4">
        <v>126</v>
      </c>
      <c r="N148" s="4">
        <v>115</v>
      </c>
      <c r="O148" s="4">
        <v>8.4</v>
      </c>
      <c r="P148" s="4">
        <v>85100</v>
      </c>
      <c r="Q148" s="4">
        <v>0.65</v>
      </c>
      <c r="R148" s="4">
        <v>5.5</v>
      </c>
      <c r="S148" s="4">
        <v>46</v>
      </c>
      <c r="T148" s="4">
        <v>3.4</v>
      </c>
      <c r="U148" s="4">
        <v>329</v>
      </c>
      <c r="V148" s="4">
        <v>1.1000000000000001</v>
      </c>
      <c r="W148" s="4">
        <v>3.9</v>
      </c>
      <c r="X148" s="4">
        <v>2460</v>
      </c>
      <c r="Y148" s="4">
        <v>0.3</v>
      </c>
      <c r="AA148">
        <f t="shared" si="13"/>
        <v>7.48966552339893</v>
      </c>
      <c r="AB148">
        <f t="shared" si="12"/>
        <v>2.2191033716034081</v>
      </c>
      <c r="AC148">
        <f t="shared" si="14"/>
        <v>0.46428571428571425</v>
      </c>
      <c r="AD148">
        <f t="shared" si="15"/>
        <v>-1.5000000000000568E-2</v>
      </c>
      <c r="AI148" s="94">
        <f t="shared" si="16"/>
        <v>0.42424242424242425</v>
      </c>
    </row>
    <row r="149" spans="1:35">
      <c r="A149" s="4">
        <v>144</v>
      </c>
      <c r="B149" s="4" t="s">
        <v>1420</v>
      </c>
      <c r="C149" s="4">
        <v>33</v>
      </c>
      <c r="D149" s="4">
        <v>8</v>
      </c>
      <c r="E149" s="4">
        <v>5</v>
      </c>
      <c r="F149" s="4" t="s">
        <v>1518</v>
      </c>
      <c r="G149" s="4" t="s">
        <v>1528</v>
      </c>
      <c r="H149" s="4">
        <v>3.3</v>
      </c>
      <c r="I149" s="4">
        <v>7</v>
      </c>
      <c r="J149" s="4">
        <v>10.3</v>
      </c>
      <c r="K149" s="4">
        <v>34</v>
      </c>
      <c r="L149" s="4">
        <v>23</v>
      </c>
      <c r="M149" s="4">
        <v>115</v>
      </c>
      <c r="N149" s="4">
        <v>118</v>
      </c>
      <c r="O149" s="4">
        <v>2.4</v>
      </c>
      <c r="P149" s="4">
        <v>123700</v>
      </c>
      <c r="Q149" s="4">
        <v>0.59</v>
      </c>
      <c r="R149" s="4">
        <v>7.3</v>
      </c>
      <c r="S149" s="4">
        <v>18</v>
      </c>
      <c r="T149" s="4">
        <v>0.8</v>
      </c>
      <c r="U149" s="4">
        <v>354</v>
      </c>
      <c r="V149" s="4">
        <v>0.3</v>
      </c>
      <c r="W149" s="4">
        <v>1.1000000000000001</v>
      </c>
      <c r="X149" s="4">
        <v>3050</v>
      </c>
      <c r="Y149" s="4">
        <v>0.3</v>
      </c>
      <c r="AA149">
        <f t="shared" si="13"/>
        <v>2.6101567223066877</v>
      </c>
      <c r="AB149">
        <f t="shared" si="12"/>
        <v>5.7113508919359139</v>
      </c>
      <c r="AC149">
        <f t="shared" si="14"/>
        <v>0.45833333333333337</v>
      </c>
      <c r="AD149">
        <f t="shared" si="15"/>
        <v>-2.0000000000002238E-3</v>
      </c>
      <c r="AI149" s="94">
        <f t="shared" si="16"/>
        <v>0.24242424242424243</v>
      </c>
    </row>
    <row r="150" spans="1:35">
      <c r="A150" s="4">
        <v>145</v>
      </c>
      <c r="B150" s="4" t="s">
        <v>1360</v>
      </c>
      <c r="C150" s="4">
        <v>33</v>
      </c>
      <c r="D150" s="4">
        <v>10</v>
      </c>
      <c r="E150" s="4">
        <v>5</v>
      </c>
      <c r="F150" s="4" t="s">
        <v>1469</v>
      </c>
      <c r="G150" s="4" t="s">
        <v>1528</v>
      </c>
      <c r="H150" s="4">
        <v>3.3</v>
      </c>
      <c r="I150" s="4">
        <v>11.9</v>
      </c>
      <c r="J150" s="4">
        <v>15.2</v>
      </c>
      <c r="K150" s="4">
        <v>40</v>
      </c>
      <c r="L150" s="4">
        <v>32</v>
      </c>
      <c r="M150" s="4">
        <v>128</v>
      </c>
      <c r="N150" s="4">
        <v>129</v>
      </c>
      <c r="O150" s="4">
        <v>4.8</v>
      </c>
      <c r="P150" s="4">
        <v>60600</v>
      </c>
      <c r="Q150" s="4">
        <v>0.98</v>
      </c>
      <c r="R150" s="4">
        <v>5.9</v>
      </c>
      <c r="S150" s="4">
        <v>28</v>
      </c>
      <c r="T150" s="4">
        <v>1.4</v>
      </c>
      <c r="U150" s="4">
        <v>349</v>
      </c>
      <c r="V150" s="4">
        <v>0.5</v>
      </c>
      <c r="W150" s="4">
        <v>2.1</v>
      </c>
      <c r="X150" s="4">
        <v>3370</v>
      </c>
      <c r="Y150" s="4">
        <v>0.2</v>
      </c>
      <c r="AA150">
        <f t="shared" si="13"/>
        <v>4.5219036868482112</v>
      </c>
      <c r="AB150">
        <f t="shared" si="12"/>
        <v>0.22857608464933329</v>
      </c>
      <c r="AC150">
        <f t="shared" si="14"/>
        <v>0.43750000000000006</v>
      </c>
      <c r="AD150">
        <f t="shared" si="15"/>
        <v>9.0000000000003411E-3</v>
      </c>
      <c r="AI150" s="94">
        <f t="shared" si="16"/>
        <v>0.30303030303030304</v>
      </c>
    </row>
    <row r="151" spans="1:35">
      <c r="A151" s="4">
        <v>146</v>
      </c>
      <c r="B151" s="4" t="s">
        <v>1360</v>
      </c>
      <c r="C151" s="4">
        <v>33</v>
      </c>
      <c r="D151" s="4">
        <v>11</v>
      </c>
      <c r="E151" s="4">
        <v>6</v>
      </c>
      <c r="F151" s="4" t="s">
        <v>1519</v>
      </c>
      <c r="G151" s="4" t="s">
        <v>1525</v>
      </c>
      <c r="H151" s="4">
        <v>2.2999999999999998</v>
      </c>
      <c r="I151" s="4">
        <v>18.399999999999999</v>
      </c>
      <c r="J151" s="4">
        <v>20.7</v>
      </c>
      <c r="K151" s="4">
        <v>27</v>
      </c>
      <c r="L151" s="4">
        <v>24</v>
      </c>
      <c r="M151" s="4">
        <v>123</v>
      </c>
      <c r="N151" s="4">
        <v>135</v>
      </c>
      <c r="O151" s="4">
        <v>5</v>
      </c>
      <c r="P151" s="4">
        <v>84300</v>
      </c>
      <c r="Q151" s="4">
        <v>0.8</v>
      </c>
      <c r="R151" s="4">
        <v>6.7</v>
      </c>
      <c r="S151" s="4">
        <v>34</v>
      </c>
      <c r="T151" s="4">
        <v>1.8</v>
      </c>
      <c r="U151" s="4">
        <v>336</v>
      </c>
      <c r="V151" s="4">
        <v>0.6</v>
      </c>
      <c r="W151" s="4">
        <v>2.1</v>
      </c>
      <c r="X151" s="4">
        <v>2780</v>
      </c>
      <c r="Y151" s="4">
        <v>0.3</v>
      </c>
      <c r="AA151">
        <f t="shared" si="13"/>
        <v>4.5219036868482112</v>
      </c>
      <c r="AB151">
        <f t="shared" si="12"/>
        <v>2.1847687109529108</v>
      </c>
      <c r="AC151">
        <f t="shared" si="14"/>
        <v>0.42000000000000004</v>
      </c>
      <c r="AD151">
        <f t="shared" si="15"/>
        <v>-6.4999999999999503E-2</v>
      </c>
      <c r="AI151" s="94">
        <f t="shared" si="16"/>
        <v>0.33333333333333331</v>
      </c>
    </row>
    <row r="152" spans="1:35">
      <c r="A152" s="4">
        <v>147</v>
      </c>
      <c r="B152" s="4" t="s">
        <v>1360</v>
      </c>
      <c r="C152" s="4">
        <v>33</v>
      </c>
      <c r="D152" s="4">
        <v>14</v>
      </c>
      <c r="E152" s="4">
        <v>7</v>
      </c>
      <c r="F152" s="4" t="s">
        <v>1519</v>
      </c>
      <c r="G152" s="4" t="s">
        <v>1528</v>
      </c>
      <c r="H152" s="4">
        <v>2.5</v>
      </c>
      <c r="I152" s="4">
        <v>28</v>
      </c>
      <c r="J152" s="4">
        <v>30.5</v>
      </c>
      <c r="K152" s="4">
        <v>35</v>
      </c>
      <c r="L152" s="4">
        <v>32</v>
      </c>
      <c r="M152" s="4">
        <v>124</v>
      </c>
      <c r="N152" s="4">
        <v>116</v>
      </c>
      <c r="O152" s="4">
        <v>9.6999999999999993</v>
      </c>
      <c r="P152" s="4">
        <v>61500</v>
      </c>
      <c r="Q152" s="4">
        <v>0.94</v>
      </c>
      <c r="R152" s="4">
        <v>5.8</v>
      </c>
      <c r="S152" s="4">
        <v>56</v>
      </c>
      <c r="T152" s="4">
        <v>3.3</v>
      </c>
      <c r="U152" s="4">
        <v>305</v>
      </c>
      <c r="V152" s="4">
        <v>1</v>
      </c>
      <c r="W152" s="4">
        <v>4.5</v>
      </c>
      <c r="X152" s="4">
        <v>3240</v>
      </c>
      <c r="Y152" s="4">
        <v>0.2</v>
      </c>
      <c r="AA152">
        <f t="shared" si="13"/>
        <v>8.3810864967077201</v>
      </c>
      <c r="AB152">
        <f t="shared" si="12"/>
        <v>1.9073999113884033</v>
      </c>
      <c r="AC152">
        <f t="shared" si="14"/>
        <v>0.46391752577319589</v>
      </c>
      <c r="AD152">
        <f t="shared" si="15"/>
        <v>2.000000000000135E-2</v>
      </c>
      <c r="AI152" s="94">
        <f t="shared" si="16"/>
        <v>0.42424242424242425</v>
      </c>
    </row>
    <row r="153" spans="1:35">
      <c r="A153" s="4">
        <v>148</v>
      </c>
      <c r="B153" s="4" t="s">
        <v>1421</v>
      </c>
      <c r="C153" s="4">
        <v>33</v>
      </c>
      <c r="D153" s="4">
        <v>6</v>
      </c>
      <c r="E153" s="4">
        <v>5</v>
      </c>
      <c r="F153" s="4" t="s">
        <v>1518</v>
      </c>
      <c r="G153" s="4" t="s">
        <v>1528</v>
      </c>
      <c r="H153" s="4">
        <v>4.5</v>
      </c>
      <c r="I153" s="4">
        <v>5.6</v>
      </c>
      <c r="J153" s="4">
        <v>10.1</v>
      </c>
      <c r="K153" s="4">
        <v>36</v>
      </c>
      <c r="L153" s="4">
        <v>20</v>
      </c>
      <c r="M153" s="4">
        <v>118</v>
      </c>
      <c r="N153" s="4">
        <v>122</v>
      </c>
      <c r="O153" s="4">
        <v>2</v>
      </c>
      <c r="P153" s="4">
        <v>70500</v>
      </c>
      <c r="Q153" s="4">
        <v>0.97</v>
      </c>
      <c r="R153" s="4">
        <v>6.8</v>
      </c>
      <c r="S153" s="4">
        <v>14</v>
      </c>
      <c r="T153" s="4">
        <v>0.5</v>
      </c>
      <c r="U153" s="4">
        <v>404</v>
      </c>
      <c r="V153" s="4">
        <v>0.2</v>
      </c>
      <c r="W153" s="4">
        <v>0.9</v>
      </c>
      <c r="X153" s="4">
        <v>4820</v>
      </c>
      <c r="Y153" s="4">
        <v>0.2</v>
      </c>
      <c r="AA153">
        <f t="shared" si="13"/>
        <v>2.1940104800524023</v>
      </c>
      <c r="AB153">
        <f t="shared" si="12"/>
        <v>7.8735771860557495</v>
      </c>
      <c r="AC153">
        <f t="shared" si="14"/>
        <v>0.45</v>
      </c>
      <c r="AD153">
        <f t="shared" si="15"/>
        <v>-2.0000000000002238E-3</v>
      </c>
      <c r="AI153" s="94">
        <f t="shared" si="16"/>
        <v>0.18181818181818182</v>
      </c>
    </row>
    <row r="154" spans="1:35">
      <c r="A154" s="4">
        <v>149</v>
      </c>
      <c r="B154" s="4" t="s">
        <v>1374</v>
      </c>
      <c r="C154" s="4">
        <v>33</v>
      </c>
      <c r="D154" s="4">
        <v>8</v>
      </c>
      <c r="E154" s="4">
        <v>5</v>
      </c>
      <c r="F154" s="4" t="s">
        <v>1469</v>
      </c>
      <c r="G154" s="4" t="s">
        <v>1526</v>
      </c>
      <c r="H154" s="4">
        <v>2.4</v>
      </c>
      <c r="I154" s="4">
        <v>7.2</v>
      </c>
      <c r="J154" s="4">
        <v>9.6</v>
      </c>
      <c r="K154" s="4">
        <v>42</v>
      </c>
      <c r="L154" s="4">
        <v>31</v>
      </c>
      <c r="M154" s="4">
        <v>119</v>
      </c>
      <c r="N154" s="4">
        <v>111</v>
      </c>
      <c r="O154" s="4">
        <v>3</v>
      </c>
      <c r="P154" s="4">
        <v>65400</v>
      </c>
      <c r="Q154" s="4">
        <v>0.94</v>
      </c>
      <c r="R154" s="4">
        <v>6.1</v>
      </c>
      <c r="S154" s="4">
        <v>18</v>
      </c>
      <c r="T154" s="4">
        <v>0.8</v>
      </c>
      <c r="U154" s="4">
        <v>348</v>
      </c>
      <c r="V154" s="4">
        <v>0.3</v>
      </c>
      <c r="W154" s="4">
        <v>1.4</v>
      </c>
      <c r="X154" s="4">
        <v>3750</v>
      </c>
      <c r="Y154" s="4">
        <v>0.2</v>
      </c>
      <c r="AA154">
        <f t="shared" si="13"/>
        <v>3.2103621121933634</v>
      </c>
      <c r="AB154">
        <f t="shared" si="12"/>
        <v>3.2028037694729994</v>
      </c>
      <c r="AC154">
        <f t="shared" si="14"/>
        <v>0.46666666666666662</v>
      </c>
      <c r="AD154">
        <f t="shared" si="15"/>
        <v>-4.5999999999999819E-2</v>
      </c>
      <c r="AI154" s="94">
        <f t="shared" si="16"/>
        <v>0.24242424242424243</v>
      </c>
    </row>
    <row r="155" spans="1:35">
      <c r="A155" s="4">
        <v>150</v>
      </c>
      <c r="B155" s="4" t="s">
        <v>1374</v>
      </c>
      <c r="C155" s="4">
        <v>33</v>
      </c>
      <c r="D155" s="4">
        <v>9</v>
      </c>
      <c r="E155" s="4">
        <v>5</v>
      </c>
      <c r="F155" s="4" t="s">
        <v>1519</v>
      </c>
      <c r="G155" s="4" t="s">
        <v>1526</v>
      </c>
      <c r="H155" s="4">
        <v>3</v>
      </c>
      <c r="I155" s="4">
        <v>13.1</v>
      </c>
      <c r="J155" s="4">
        <v>16.100000000000001</v>
      </c>
      <c r="K155" s="4">
        <v>30</v>
      </c>
      <c r="L155" s="4">
        <v>24</v>
      </c>
      <c r="M155" s="4">
        <v>116</v>
      </c>
      <c r="N155" s="4">
        <v>116</v>
      </c>
      <c r="O155" s="4">
        <v>3.9</v>
      </c>
      <c r="P155" s="4">
        <v>62200</v>
      </c>
      <c r="Q155" s="4">
        <v>0.98</v>
      </c>
      <c r="R155" s="4">
        <v>6.1</v>
      </c>
      <c r="S155" s="4">
        <v>24</v>
      </c>
      <c r="T155" s="4">
        <v>1.6</v>
      </c>
      <c r="U155" s="4">
        <v>326</v>
      </c>
      <c r="V155" s="4">
        <v>0.5</v>
      </c>
      <c r="W155" s="4">
        <v>1.8</v>
      </c>
      <c r="X155" s="4">
        <v>2480</v>
      </c>
      <c r="Y155" s="4">
        <v>0.3</v>
      </c>
      <c r="AA155">
        <f t="shared" si="13"/>
        <v>3.9733679043303689</v>
      </c>
      <c r="AB155">
        <f t="shared" si="12"/>
        <v>1.0539734598590185</v>
      </c>
      <c r="AC155">
        <f t="shared" si="14"/>
        <v>0.46153846153846156</v>
      </c>
      <c r="AD155">
        <f t="shared" si="15"/>
        <v>-1.1999999999999567E-2</v>
      </c>
      <c r="AI155" s="94">
        <f t="shared" si="16"/>
        <v>0.27272727272727271</v>
      </c>
    </row>
    <row r="156" spans="1:35">
      <c r="A156" s="4">
        <v>151</v>
      </c>
      <c r="B156" s="4" t="s">
        <v>1374</v>
      </c>
      <c r="C156" s="4">
        <v>33</v>
      </c>
      <c r="D156" s="4">
        <v>11</v>
      </c>
      <c r="E156" s="4">
        <v>5</v>
      </c>
      <c r="F156" s="4" t="s">
        <v>1519</v>
      </c>
      <c r="G156" s="4" t="s">
        <v>1526</v>
      </c>
      <c r="H156" s="4">
        <v>2.2000000000000002</v>
      </c>
      <c r="I156" s="4">
        <v>10.5</v>
      </c>
      <c r="J156" s="4">
        <v>12.7</v>
      </c>
      <c r="K156" s="4">
        <v>34</v>
      </c>
      <c r="L156" s="4">
        <v>28</v>
      </c>
      <c r="M156" s="4">
        <v>120</v>
      </c>
      <c r="N156" s="4">
        <v>113</v>
      </c>
      <c r="O156" s="4">
        <v>3.6</v>
      </c>
      <c r="P156" s="4">
        <v>58400</v>
      </c>
      <c r="Q156" s="4">
        <v>1.0900000000000001</v>
      </c>
      <c r="R156" s="4">
        <v>6.4</v>
      </c>
      <c r="S156" s="4">
        <v>23</v>
      </c>
      <c r="T156" s="4">
        <v>1.4</v>
      </c>
      <c r="U156" s="4">
        <v>366</v>
      </c>
      <c r="V156" s="4">
        <v>0.5</v>
      </c>
      <c r="W156" s="4">
        <v>1.7</v>
      </c>
      <c r="X156" s="4">
        <v>2510</v>
      </c>
      <c r="Y156" s="4">
        <v>0.3</v>
      </c>
      <c r="AA156">
        <f t="shared" si="13"/>
        <v>3.7862053935693911</v>
      </c>
      <c r="AB156">
        <f t="shared" si="12"/>
        <v>1.4732973466000368</v>
      </c>
      <c r="AC156">
        <f t="shared" si="14"/>
        <v>0.47222222222222221</v>
      </c>
      <c r="AD156">
        <f t="shared" si="15"/>
        <v>2.0999999999999464E-2</v>
      </c>
      <c r="AI156" s="94">
        <f t="shared" si="16"/>
        <v>0.33333333333333331</v>
      </c>
    </row>
    <row r="157" spans="1:35">
      <c r="A157" s="4">
        <v>152</v>
      </c>
      <c r="B157" s="4" t="s">
        <v>1422</v>
      </c>
      <c r="C157" s="4">
        <v>33</v>
      </c>
      <c r="D157" s="4">
        <v>9</v>
      </c>
      <c r="E157" s="4">
        <v>5</v>
      </c>
      <c r="F157" s="4" t="s">
        <v>1469</v>
      </c>
      <c r="G157" s="4" t="s">
        <v>1526</v>
      </c>
      <c r="H157" s="4">
        <v>2.8</v>
      </c>
      <c r="I157" s="4">
        <v>7.4</v>
      </c>
      <c r="J157" s="4">
        <v>10.199999999999999</v>
      </c>
      <c r="K157" s="4">
        <v>39</v>
      </c>
      <c r="L157" s="4">
        <v>28</v>
      </c>
      <c r="M157" s="4">
        <v>143</v>
      </c>
      <c r="N157" s="4">
        <v>138</v>
      </c>
      <c r="O157" s="4">
        <v>2.9</v>
      </c>
      <c r="P157" s="4">
        <v>54000</v>
      </c>
      <c r="Q157" s="4">
        <v>1.05</v>
      </c>
      <c r="R157" s="4">
        <v>5.7</v>
      </c>
      <c r="S157" s="4">
        <v>17</v>
      </c>
      <c r="T157" s="4">
        <v>1.3</v>
      </c>
      <c r="U157" s="4">
        <v>331</v>
      </c>
      <c r="V157" s="4">
        <v>0.4</v>
      </c>
      <c r="W157" s="4">
        <v>1.2</v>
      </c>
      <c r="X157" s="4">
        <v>2070</v>
      </c>
      <c r="Y157" s="4">
        <v>0.3</v>
      </c>
      <c r="AA157">
        <f t="shared" si="13"/>
        <v>2.8132049465737783</v>
      </c>
      <c r="AB157">
        <f t="shared" si="12"/>
        <v>4.7820726056893923</v>
      </c>
      <c r="AC157">
        <f t="shared" si="14"/>
        <v>0.41379310344827586</v>
      </c>
      <c r="AD157">
        <f t="shared" si="15"/>
        <v>-4.4000000000000039E-2</v>
      </c>
      <c r="AI157" s="94">
        <f t="shared" si="16"/>
        <v>0.27272727272727271</v>
      </c>
    </row>
    <row r="158" spans="1:35">
      <c r="A158" s="4">
        <v>153</v>
      </c>
      <c r="B158" s="4" t="s">
        <v>1423</v>
      </c>
      <c r="C158" s="4">
        <v>33</v>
      </c>
      <c r="D158" s="4">
        <v>10</v>
      </c>
      <c r="E158" s="4">
        <v>6</v>
      </c>
      <c r="F158" s="4" t="s">
        <v>1469</v>
      </c>
      <c r="G158" s="4" t="s">
        <v>1526</v>
      </c>
      <c r="H158" s="4">
        <v>3.6</v>
      </c>
      <c r="I158" s="4">
        <v>9.3000000000000007</v>
      </c>
      <c r="J158" s="4">
        <v>12.9</v>
      </c>
      <c r="K158" s="4">
        <v>39</v>
      </c>
      <c r="L158" s="4">
        <v>28</v>
      </c>
      <c r="M158" s="4">
        <v>147</v>
      </c>
      <c r="N158" s="4">
        <v>136</v>
      </c>
      <c r="O158" s="4">
        <v>3.6</v>
      </c>
      <c r="P158" s="4">
        <v>53000</v>
      </c>
      <c r="Q158" s="4">
        <v>0.92</v>
      </c>
      <c r="R158" s="4">
        <v>4.9000000000000004</v>
      </c>
      <c r="S158" s="4">
        <v>18</v>
      </c>
      <c r="T158" s="4">
        <v>1.6</v>
      </c>
      <c r="U158" s="4">
        <v>311</v>
      </c>
      <c r="V158" s="4">
        <v>0.5</v>
      </c>
      <c r="W158" s="4">
        <v>1.5</v>
      </c>
      <c r="X158" s="4">
        <v>2260</v>
      </c>
      <c r="Y158" s="4">
        <v>0.3</v>
      </c>
      <c r="AA158">
        <f t="shared" si="13"/>
        <v>3.4048201998037113</v>
      </c>
      <c r="AB158">
        <f t="shared" si="12"/>
        <v>6.7349581953468487</v>
      </c>
      <c r="AC158">
        <f t="shared" si="14"/>
        <v>0.41666666666666663</v>
      </c>
      <c r="AD158">
        <f t="shared" si="15"/>
        <v>-5.9999999999999609E-2</v>
      </c>
      <c r="AI158" s="94">
        <f t="shared" si="16"/>
        <v>0.30303030303030304</v>
      </c>
    </row>
    <row r="159" spans="1:35">
      <c r="A159" s="4">
        <v>154</v>
      </c>
      <c r="B159" s="4" t="s">
        <v>1423</v>
      </c>
      <c r="C159" s="4">
        <v>33</v>
      </c>
      <c r="D159" s="4">
        <v>11</v>
      </c>
      <c r="E159" s="4">
        <v>6</v>
      </c>
      <c r="F159" s="4" t="s">
        <v>1519</v>
      </c>
      <c r="G159" s="4" t="s">
        <v>1525</v>
      </c>
      <c r="H159" s="4">
        <v>2.2999999999999998</v>
      </c>
      <c r="I159" s="4">
        <v>11.7</v>
      </c>
      <c r="J159" s="4">
        <v>14</v>
      </c>
      <c r="K159" s="4">
        <v>39</v>
      </c>
      <c r="L159" s="4">
        <v>33</v>
      </c>
      <c r="M159" s="4">
        <v>124</v>
      </c>
      <c r="N159" s="4">
        <v>118</v>
      </c>
      <c r="O159" s="4">
        <v>4.5999999999999996</v>
      </c>
      <c r="P159" s="4">
        <v>42000</v>
      </c>
      <c r="Q159" s="4">
        <v>1.19</v>
      </c>
      <c r="R159" s="4">
        <v>5</v>
      </c>
      <c r="S159" s="4">
        <v>23</v>
      </c>
      <c r="T159" s="4">
        <v>1.9</v>
      </c>
      <c r="U159" s="4">
        <v>366</v>
      </c>
      <c r="V159" s="4">
        <v>0.7</v>
      </c>
      <c r="W159" s="4">
        <v>2.1</v>
      </c>
      <c r="X159" s="4">
        <v>2370</v>
      </c>
      <c r="Y159" s="4">
        <v>0.3</v>
      </c>
      <c r="AA159">
        <f t="shared" si="13"/>
        <v>4.5219036868482112</v>
      </c>
      <c r="AB159">
        <f t="shared" si="12"/>
        <v>2.1847687109529108</v>
      </c>
      <c r="AC159">
        <f t="shared" si="14"/>
        <v>0.45652173913043481</v>
      </c>
      <c r="AD159">
        <f t="shared" si="15"/>
        <v>-2.2000000000000242E-2</v>
      </c>
      <c r="AI159" s="94">
        <f t="shared" si="16"/>
        <v>0.33333333333333331</v>
      </c>
    </row>
    <row r="160" spans="1:35">
      <c r="A160" s="4">
        <v>155</v>
      </c>
      <c r="B160" s="4" t="s">
        <v>1423</v>
      </c>
      <c r="C160" s="4">
        <v>33</v>
      </c>
      <c r="D160" s="4">
        <v>13</v>
      </c>
      <c r="E160" s="4">
        <v>6</v>
      </c>
      <c r="F160" s="4" t="s">
        <v>1519</v>
      </c>
      <c r="G160" s="4" t="s">
        <v>1526</v>
      </c>
      <c r="H160" s="4">
        <v>3.3</v>
      </c>
      <c r="I160" s="4">
        <v>16.8</v>
      </c>
      <c r="J160" s="4">
        <v>20.100000000000001</v>
      </c>
      <c r="K160" s="4">
        <v>46</v>
      </c>
      <c r="L160" s="4">
        <v>39</v>
      </c>
      <c r="M160" s="4">
        <v>134</v>
      </c>
      <c r="N160" s="4">
        <v>130</v>
      </c>
      <c r="O160" s="4">
        <v>7.8</v>
      </c>
      <c r="P160" s="4">
        <v>31000</v>
      </c>
      <c r="Q160" s="4">
        <v>1.32</v>
      </c>
      <c r="R160" s="4">
        <v>4.0999999999999996</v>
      </c>
      <c r="S160" s="4">
        <v>32</v>
      </c>
      <c r="T160" s="4">
        <v>4.0999999999999996</v>
      </c>
      <c r="U160" s="4">
        <v>336</v>
      </c>
      <c r="V160" s="4">
        <v>1.4</v>
      </c>
      <c r="W160" s="4">
        <v>3.4</v>
      </c>
      <c r="X160" s="4">
        <v>1900</v>
      </c>
      <c r="Y160" s="4">
        <v>0.4</v>
      </c>
      <c r="AA160">
        <f t="shared" si="13"/>
        <v>6.7131017800975599</v>
      </c>
      <c r="AB160">
        <f t="shared" si="12"/>
        <v>0.50851414877830858</v>
      </c>
      <c r="AC160">
        <f t="shared" si="14"/>
        <v>0.4358974358974359</v>
      </c>
      <c r="AD160">
        <f t="shared" si="15"/>
        <v>1.9999999999999574E-2</v>
      </c>
      <c r="AI160" s="94">
        <f t="shared" si="16"/>
        <v>0.39393939393939392</v>
      </c>
    </row>
    <row r="161" spans="1:35">
      <c r="A161" s="4">
        <v>156</v>
      </c>
      <c r="B161" s="6" t="s">
        <v>1424</v>
      </c>
      <c r="C161" s="4">
        <v>42</v>
      </c>
      <c r="D161" s="4">
        <v>16</v>
      </c>
      <c r="E161" s="4">
        <v>21</v>
      </c>
      <c r="F161" s="4" t="s">
        <v>1469</v>
      </c>
      <c r="G161" s="4" t="s">
        <v>1528</v>
      </c>
      <c r="H161" s="4">
        <v>5.8</v>
      </c>
      <c r="I161" s="4">
        <v>30.7</v>
      </c>
      <c r="J161" s="4">
        <v>36.5</v>
      </c>
      <c r="K161" s="4">
        <v>28</v>
      </c>
      <c r="L161" s="4">
        <v>24</v>
      </c>
      <c r="M161" s="8" t="s">
        <v>1425</v>
      </c>
      <c r="N161" s="4">
        <v>167</v>
      </c>
      <c r="O161" s="4">
        <v>8.8000000000000007</v>
      </c>
      <c r="P161" s="4">
        <v>38200</v>
      </c>
      <c r="Q161" s="4">
        <v>1.39</v>
      </c>
      <c r="R161" s="4">
        <v>5.3</v>
      </c>
      <c r="S161" s="4">
        <v>47</v>
      </c>
      <c r="T161" s="4">
        <v>11</v>
      </c>
      <c r="U161" s="4">
        <v>406</v>
      </c>
      <c r="V161" s="4">
        <v>4.5</v>
      </c>
      <c r="W161" s="4">
        <v>3.3</v>
      </c>
      <c r="X161" s="4">
        <v>800</v>
      </c>
      <c r="Y161" s="4">
        <v>1.4</v>
      </c>
      <c r="AA161">
        <f t="shared" si="13"/>
        <v>6.5537992803443554</v>
      </c>
      <c r="AB161">
        <f t="shared" si="12"/>
        <v>208.69271523257927</v>
      </c>
      <c r="AC161">
        <f t="shared" si="14"/>
        <v>0.37499999999999994</v>
      </c>
      <c r="AD161">
        <f t="shared" si="15"/>
        <v>1.0999999999999233E-2</v>
      </c>
      <c r="AI161" s="94">
        <f t="shared" si="16"/>
        <v>0.38095238095238093</v>
      </c>
    </row>
    <row r="162" spans="1:35">
      <c r="A162" s="4">
        <v>157</v>
      </c>
      <c r="B162" s="4" t="s">
        <v>1426</v>
      </c>
      <c r="C162" s="4">
        <v>42</v>
      </c>
      <c r="D162" s="4">
        <v>18</v>
      </c>
      <c r="E162" s="4">
        <v>22</v>
      </c>
      <c r="F162" s="4" t="s">
        <v>1469</v>
      </c>
      <c r="G162" s="4" t="s">
        <v>1526</v>
      </c>
      <c r="H162" s="4">
        <v>3.1</v>
      </c>
      <c r="I162" s="4">
        <v>34.6</v>
      </c>
      <c r="J162" s="4">
        <v>37.700000000000003</v>
      </c>
      <c r="K162" s="4">
        <v>34</v>
      </c>
      <c r="L162" s="4">
        <v>31</v>
      </c>
      <c r="M162" s="8" t="s">
        <v>1425</v>
      </c>
      <c r="N162" s="4">
        <v>160</v>
      </c>
      <c r="O162" s="4">
        <v>11.7</v>
      </c>
      <c r="P162" s="4">
        <v>37100</v>
      </c>
      <c r="Q162" s="4">
        <v>1.48</v>
      </c>
      <c r="R162" s="4">
        <v>5.5</v>
      </c>
      <c r="S162" s="4">
        <v>64</v>
      </c>
      <c r="T162" s="4">
        <v>9.4</v>
      </c>
      <c r="U162" s="4">
        <v>423</v>
      </c>
      <c r="V162" s="4">
        <v>4</v>
      </c>
      <c r="W162" s="4">
        <v>4.5</v>
      </c>
      <c r="X162" s="4">
        <v>1240</v>
      </c>
      <c r="Y162" s="4">
        <v>0.9</v>
      </c>
      <c r="AA162">
        <f t="shared" si="13"/>
        <v>8.3810864967077201</v>
      </c>
      <c r="AB162">
        <f t="shared" si="12"/>
        <v>185.47480501015681</v>
      </c>
      <c r="AC162">
        <f t="shared" si="14"/>
        <v>0.38461538461538464</v>
      </c>
      <c r="AD162">
        <f t="shared" si="15"/>
        <v>0</v>
      </c>
      <c r="AI162" s="94">
        <f t="shared" si="16"/>
        <v>0.42857142857142855</v>
      </c>
    </row>
    <row r="163" spans="1:35">
      <c r="A163" s="4">
        <v>158</v>
      </c>
      <c r="B163" s="4" t="s">
        <v>1427</v>
      </c>
      <c r="C163" s="4">
        <v>42</v>
      </c>
      <c r="D163" s="4">
        <v>24</v>
      </c>
      <c r="E163" s="4">
        <v>22</v>
      </c>
      <c r="F163" s="4" t="s">
        <v>1519</v>
      </c>
      <c r="G163" s="4" t="s">
        <v>1527</v>
      </c>
      <c r="H163" s="4">
        <v>2.7</v>
      </c>
      <c r="I163" s="4">
        <v>65.599999999999994</v>
      </c>
      <c r="J163" s="4">
        <v>68.3</v>
      </c>
      <c r="K163" s="4">
        <v>34</v>
      </c>
      <c r="L163" s="4">
        <v>33</v>
      </c>
      <c r="M163" s="8" t="s">
        <v>1425</v>
      </c>
      <c r="N163" s="4">
        <v>152</v>
      </c>
      <c r="O163" s="4">
        <v>22.4</v>
      </c>
      <c r="P163" s="4">
        <v>31100</v>
      </c>
      <c r="Q163" s="4">
        <v>1.77</v>
      </c>
      <c r="R163" s="4">
        <v>5.5</v>
      </c>
      <c r="S163" s="4">
        <v>123</v>
      </c>
      <c r="T163" s="4">
        <v>21.6</v>
      </c>
      <c r="U163" s="4">
        <v>359</v>
      </c>
      <c r="V163" s="4">
        <v>7.8</v>
      </c>
      <c r="W163" s="4">
        <v>8.9</v>
      </c>
      <c r="X163" s="4">
        <v>1040</v>
      </c>
      <c r="Y163" s="4">
        <v>0.9</v>
      </c>
      <c r="AA163">
        <f t="shared" si="13"/>
        <v>13.903297076105851</v>
      </c>
      <c r="AB163">
        <f t="shared" si="12"/>
        <v>65.556598237796067</v>
      </c>
      <c r="AC163">
        <f t="shared" si="14"/>
        <v>0.3973214285714286</v>
      </c>
      <c r="AD163">
        <f t="shared" si="15"/>
        <v>2.8000000000002245E-2</v>
      </c>
      <c r="AI163" s="94">
        <f t="shared" si="16"/>
        <v>0.5714285714285714</v>
      </c>
    </row>
    <row r="164" spans="1:35">
      <c r="A164" s="4">
        <v>159</v>
      </c>
      <c r="B164" s="4" t="s">
        <v>1428</v>
      </c>
      <c r="C164" s="4">
        <v>55</v>
      </c>
      <c r="D164" s="4">
        <v>22</v>
      </c>
      <c r="E164" s="4">
        <v>21</v>
      </c>
      <c r="F164" s="4" t="s">
        <v>1519</v>
      </c>
      <c r="G164" s="4" t="s">
        <v>1525</v>
      </c>
      <c r="H164" s="4">
        <v>4</v>
      </c>
      <c r="I164" s="4">
        <v>55.6</v>
      </c>
      <c r="J164" s="4">
        <v>59.6</v>
      </c>
      <c r="K164" s="4">
        <v>28</v>
      </c>
      <c r="L164" s="4">
        <v>26</v>
      </c>
      <c r="M164" s="4">
        <v>158</v>
      </c>
      <c r="N164" s="4">
        <v>156</v>
      </c>
      <c r="O164" s="4">
        <v>15.6</v>
      </c>
      <c r="P164" s="4">
        <v>43400</v>
      </c>
      <c r="Q164" s="4">
        <v>1.23</v>
      </c>
      <c r="R164" s="4">
        <v>5.3</v>
      </c>
      <c r="S164" s="4">
        <v>83</v>
      </c>
      <c r="T164" s="4">
        <v>13.5</v>
      </c>
      <c r="U164" s="4">
        <v>433</v>
      </c>
      <c r="V164" s="4">
        <v>5.8</v>
      </c>
      <c r="W164" s="4">
        <v>6.1</v>
      </c>
      <c r="X164" s="4">
        <v>1160</v>
      </c>
      <c r="Y164" s="4">
        <v>1</v>
      </c>
      <c r="AA164">
        <f t="shared" si="13"/>
        <v>10.574048664887476</v>
      </c>
      <c r="AB164">
        <f t="shared" si="12"/>
        <v>108.70046124213462</v>
      </c>
      <c r="AC164">
        <f t="shared" si="14"/>
        <v>0.39102564102564102</v>
      </c>
      <c r="AD164">
        <f t="shared" si="15"/>
        <v>1.6000000000000014E-2</v>
      </c>
      <c r="AI164" s="94">
        <f t="shared" si="16"/>
        <v>0.4</v>
      </c>
    </row>
    <row r="165" spans="1:35">
      <c r="A165" s="4">
        <v>160</v>
      </c>
      <c r="B165" s="6" t="s">
        <v>1429</v>
      </c>
      <c r="C165" s="4">
        <v>60</v>
      </c>
      <c r="D165" s="4">
        <v>22</v>
      </c>
      <c r="E165" s="4">
        <v>25</v>
      </c>
      <c r="F165" s="4" t="s">
        <v>1518</v>
      </c>
      <c r="G165" s="4" t="s">
        <v>1525</v>
      </c>
      <c r="H165" s="4">
        <v>5.4</v>
      </c>
      <c r="I165" s="4">
        <v>21.2</v>
      </c>
      <c r="J165" s="4">
        <v>26.6</v>
      </c>
      <c r="K165" s="4">
        <v>32</v>
      </c>
      <c r="L165" s="4">
        <v>26</v>
      </c>
      <c r="M165" s="4">
        <v>144</v>
      </c>
      <c r="N165" s="4">
        <v>143</v>
      </c>
      <c r="O165" s="4">
        <v>6.8</v>
      </c>
      <c r="P165" s="4">
        <v>30100</v>
      </c>
      <c r="Q165" s="4">
        <v>2</v>
      </c>
      <c r="R165" s="4">
        <v>6</v>
      </c>
      <c r="S165" s="4">
        <v>41</v>
      </c>
      <c r="T165" s="4">
        <v>7.6</v>
      </c>
      <c r="U165" s="4">
        <v>414</v>
      </c>
      <c r="V165" s="4">
        <v>3.1</v>
      </c>
      <c r="W165" s="4">
        <v>2.8</v>
      </c>
      <c r="X165" s="4">
        <v>890</v>
      </c>
      <c r="Y165" s="4">
        <v>1.1000000000000001</v>
      </c>
      <c r="AA165">
        <f t="shared" si="13"/>
        <v>5.7355929852500527</v>
      </c>
      <c r="AB165">
        <f t="shared" si="12"/>
        <v>371.11737762994704</v>
      </c>
      <c r="AC165">
        <f t="shared" si="14"/>
        <v>0.41176470588235292</v>
      </c>
      <c r="AD165">
        <f t="shared" si="15"/>
        <v>3.9999999999986713E-3</v>
      </c>
      <c r="AI165" s="94">
        <f t="shared" si="16"/>
        <v>0.36666666666666664</v>
      </c>
    </row>
    <row r="166" spans="1:35">
      <c r="A166" s="4">
        <v>161</v>
      </c>
      <c r="B166" s="4" t="s">
        <v>1430</v>
      </c>
      <c r="C166" s="4">
        <v>60</v>
      </c>
      <c r="D166" s="4">
        <v>32</v>
      </c>
      <c r="E166" s="4">
        <v>28</v>
      </c>
      <c r="F166" s="4" t="s">
        <v>1519</v>
      </c>
      <c r="G166" s="4" t="s">
        <v>1527</v>
      </c>
      <c r="H166" s="4">
        <v>4.8</v>
      </c>
      <c r="I166" s="4">
        <v>55.5</v>
      </c>
      <c r="J166" s="4">
        <v>60.3</v>
      </c>
      <c r="K166" s="4">
        <v>29</v>
      </c>
      <c r="L166" s="4">
        <v>26</v>
      </c>
      <c r="M166" s="4">
        <v>127</v>
      </c>
      <c r="N166" s="4">
        <v>134</v>
      </c>
      <c r="O166" s="4">
        <v>15.9</v>
      </c>
      <c r="P166" s="4">
        <v>36700</v>
      </c>
      <c r="Q166" s="4">
        <v>1.46</v>
      </c>
      <c r="R166" s="4">
        <v>5.4</v>
      </c>
      <c r="S166" s="4">
        <v>86</v>
      </c>
      <c r="T166" s="4">
        <v>17.399999999999999</v>
      </c>
      <c r="U166" s="4">
        <v>408</v>
      </c>
      <c r="V166" s="4">
        <v>7.1</v>
      </c>
      <c r="W166" s="4">
        <v>6.8</v>
      </c>
      <c r="X166" s="4">
        <v>910</v>
      </c>
      <c r="Y166" s="4">
        <v>1</v>
      </c>
      <c r="AA166">
        <f t="shared" si="13"/>
        <v>11.460949506038077</v>
      </c>
      <c r="AB166">
        <f t="shared" si="12"/>
        <v>273.54019124182213</v>
      </c>
      <c r="AC166">
        <f t="shared" si="14"/>
        <v>0.42767295597484273</v>
      </c>
      <c r="AD166">
        <f t="shared" si="15"/>
        <v>1.1999999999998678E-2</v>
      </c>
      <c r="AI166" s="94">
        <f t="shared" si="16"/>
        <v>0.53333333333333333</v>
      </c>
    </row>
    <row r="167" spans="1:35">
      <c r="A167" s="4">
        <v>162</v>
      </c>
      <c r="B167" s="7"/>
      <c r="C167" s="4">
        <v>60</v>
      </c>
      <c r="D167" s="4">
        <v>33</v>
      </c>
      <c r="E167" s="4">
        <v>25</v>
      </c>
      <c r="F167" s="4" t="s">
        <v>1519</v>
      </c>
      <c r="G167" s="4" t="s">
        <v>1528</v>
      </c>
      <c r="H167" s="4">
        <v>5.6</v>
      </c>
      <c r="I167" s="4">
        <v>45.1</v>
      </c>
      <c r="J167" s="4">
        <v>50.7</v>
      </c>
      <c r="K167" s="4">
        <v>29</v>
      </c>
      <c r="L167" s="4">
        <v>26</v>
      </c>
      <c r="M167" s="4">
        <v>123</v>
      </c>
      <c r="N167" s="4">
        <v>136</v>
      </c>
      <c r="O167" s="4">
        <v>13.2</v>
      </c>
      <c r="P167" s="4">
        <v>27900</v>
      </c>
      <c r="Q167" s="4">
        <v>1.75</v>
      </c>
      <c r="R167" s="4">
        <v>4.9000000000000004</v>
      </c>
      <c r="S167" s="4">
        <v>65</v>
      </c>
      <c r="T167" s="4">
        <v>15.8</v>
      </c>
      <c r="U167" s="4">
        <v>392</v>
      </c>
      <c r="V167" s="4">
        <v>6.2</v>
      </c>
      <c r="W167" s="4">
        <v>5.6</v>
      </c>
      <c r="X167" s="4">
        <v>840</v>
      </c>
      <c r="Y167" s="4">
        <v>1.1000000000000001</v>
      </c>
      <c r="AA167">
        <f t="shared" si="13"/>
        <v>9.9149687931281836</v>
      </c>
      <c r="AB167">
        <f t="shared" si="12"/>
        <v>227.55816651229657</v>
      </c>
      <c r="AC167">
        <f t="shared" si="14"/>
        <v>0.42424242424242425</v>
      </c>
      <c r="AD167">
        <f t="shared" si="15"/>
        <v>1.6000000000001791E-2</v>
      </c>
      <c r="AI167" s="94">
        <f t="shared" si="16"/>
        <v>0.55000000000000004</v>
      </c>
    </row>
    <row r="168" spans="1:35">
      <c r="A168" s="4">
        <v>163</v>
      </c>
      <c r="B168" s="6" t="s">
        <v>1431</v>
      </c>
      <c r="C168" s="4">
        <v>65</v>
      </c>
      <c r="D168" s="4">
        <v>18</v>
      </c>
      <c r="E168" s="4">
        <v>21</v>
      </c>
      <c r="F168" s="4" t="s">
        <v>1518</v>
      </c>
      <c r="G168" s="4" t="s">
        <v>1527</v>
      </c>
      <c r="H168" s="4">
        <v>5.8</v>
      </c>
      <c r="I168" s="4">
        <v>18.7</v>
      </c>
      <c r="J168" s="4">
        <v>24.5</v>
      </c>
      <c r="K168" s="4">
        <v>31</v>
      </c>
      <c r="L168" s="4">
        <v>24</v>
      </c>
      <c r="M168" s="4">
        <v>141</v>
      </c>
      <c r="N168" s="4">
        <v>164</v>
      </c>
      <c r="O168" s="4">
        <v>5.8</v>
      </c>
      <c r="P168" s="4">
        <v>48300</v>
      </c>
      <c r="Q168" s="4">
        <v>1.19</v>
      </c>
      <c r="R168" s="4">
        <v>5.7</v>
      </c>
      <c r="S168" s="4">
        <v>33</v>
      </c>
      <c r="T168" s="4">
        <v>3.3</v>
      </c>
      <c r="U168" s="4">
        <v>437</v>
      </c>
      <c r="V168" s="4">
        <v>1.4</v>
      </c>
      <c r="W168" s="4">
        <v>2.2000000000000002</v>
      </c>
      <c r="X168" s="4">
        <v>1760</v>
      </c>
      <c r="Y168" s="4">
        <v>0.6</v>
      </c>
      <c r="AA168">
        <f t="shared" si="13"/>
        <v>4.7007044799259941</v>
      </c>
      <c r="AB168">
        <f t="shared" si="12"/>
        <v>265.66703445070448</v>
      </c>
      <c r="AC168">
        <f t="shared" si="14"/>
        <v>0.37931034482758624</v>
      </c>
      <c r="AD168">
        <f t="shared" si="15"/>
        <v>8.0000000000000071E-3</v>
      </c>
      <c r="AI168" s="94">
        <f t="shared" si="16"/>
        <v>0.27692307692307694</v>
      </c>
    </row>
    <row r="169" spans="1:35">
      <c r="A169" s="4">
        <v>164</v>
      </c>
      <c r="B169" s="4" t="s">
        <v>1432</v>
      </c>
      <c r="C169" s="4">
        <v>65</v>
      </c>
      <c r="D169" s="4">
        <v>23</v>
      </c>
      <c r="E169" s="4">
        <v>24</v>
      </c>
      <c r="F169" s="4" t="s">
        <v>1469</v>
      </c>
      <c r="G169" s="4" t="s">
        <v>1526</v>
      </c>
      <c r="H169" s="4">
        <v>4.5</v>
      </c>
      <c r="I169" s="4">
        <v>41.9</v>
      </c>
      <c r="J169" s="4">
        <v>46.4</v>
      </c>
      <c r="K169" s="4">
        <v>30</v>
      </c>
      <c r="L169" s="4">
        <v>27</v>
      </c>
      <c r="M169" s="4">
        <v>162</v>
      </c>
      <c r="N169" s="4">
        <v>165</v>
      </c>
      <c r="O169" s="4">
        <v>12.7</v>
      </c>
      <c r="P169" s="4">
        <v>35500</v>
      </c>
      <c r="Q169" s="4">
        <v>1.57</v>
      </c>
      <c r="R169" s="4">
        <v>5.6</v>
      </c>
      <c r="S169" s="4">
        <v>71</v>
      </c>
      <c r="T169" s="4">
        <v>15.1</v>
      </c>
      <c r="U169" s="4">
        <v>412</v>
      </c>
      <c r="V169" s="4">
        <v>6.2</v>
      </c>
      <c r="W169" s="4">
        <v>4.8</v>
      </c>
      <c r="X169" s="4">
        <v>840</v>
      </c>
      <c r="Y169" s="4">
        <v>1.3</v>
      </c>
      <c r="AA169">
        <f t="shared" si="13"/>
        <v>8.8116486651561647</v>
      </c>
      <c r="AB169">
        <f t="shared" si="12"/>
        <v>230.68601627065252</v>
      </c>
      <c r="AC169">
        <f t="shared" si="14"/>
        <v>0.37795275590551181</v>
      </c>
      <c r="AD169">
        <f t="shared" si="15"/>
        <v>1.9999999999999574E-2</v>
      </c>
      <c r="AI169" s="94">
        <f t="shared" si="16"/>
        <v>0.35384615384615387</v>
      </c>
    </row>
    <row r="170" spans="1:35">
      <c r="A170" s="4">
        <v>165</v>
      </c>
      <c r="B170" s="7"/>
      <c r="C170" s="4">
        <v>65</v>
      </c>
      <c r="D170" s="4">
        <v>27</v>
      </c>
      <c r="E170" s="4">
        <v>25</v>
      </c>
      <c r="F170" s="4" t="s">
        <v>1519</v>
      </c>
      <c r="G170" s="4" t="s">
        <v>1525</v>
      </c>
      <c r="H170" s="4">
        <v>5.6</v>
      </c>
      <c r="I170" s="4">
        <v>67.5</v>
      </c>
      <c r="J170" s="4">
        <v>73.099999999999994</v>
      </c>
      <c r="K170" s="4">
        <v>29</v>
      </c>
      <c r="L170" s="4">
        <v>27</v>
      </c>
      <c r="M170" s="4">
        <v>147</v>
      </c>
      <c r="N170" s="4">
        <v>149</v>
      </c>
      <c r="O170" s="4">
        <v>19.899999999999999</v>
      </c>
      <c r="P170" s="4">
        <v>36800</v>
      </c>
      <c r="Q170" s="4">
        <v>1.54</v>
      </c>
      <c r="R170" s="4">
        <v>5.7</v>
      </c>
      <c r="S170" s="4">
        <v>113</v>
      </c>
      <c r="T170" s="4">
        <v>25.6</v>
      </c>
      <c r="U170" s="4">
        <v>444</v>
      </c>
      <c r="V170" s="4">
        <v>11.4</v>
      </c>
      <c r="W170" s="4">
        <v>8</v>
      </c>
      <c r="X170" s="4">
        <v>780</v>
      </c>
      <c r="Y170" s="7">
        <v>1.4</v>
      </c>
      <c r="AA170">
        <f t="shared" si="13"/>
        <v>12.893705981167562</v>
      </c>
      <c r="AB170">
        <f t="shared" si="12"/>
        <v>146.56235487041806</v>
      </c>
      <c r="AC170">
        <f t="shared" si="14"/>
        <v>0.4020100502512563</v>
      </c>
      <c r="AD170">
        <f t="shared" si="15"/>
        <v>2.0000000000003126E-2</v>
      </c>
      <c r="AI170" s="94">
        <f t="shared" si="16"/>
        <v>0.41538461538461541</v>
      </c>
    </row>
    <row r="171" spans="1:35">
      <c r="A171" s="4">
        <v>166</v>
      </c>
      <c r="B171" s="7"/>
      <c r="C171" s="4">
        <v>65</v>
      </c>
      <c r="D171" s="4">
        <v>32</v>
      </c>
      <c r="E171" s="4">
        <v>25</v>
      </c>
      <c r="F171" s="4" t="s">
        <v>1519</v>
      </c>
      <c r="G171" s="4" t="s">
        <v>1525</v>
      </c>
      <c r="H171" s="4">
        <v>4.5</v>
      </c>
      <c r="I171" s="4">
        <v>143.80000000000001</v>
      </c>
      <c r="J171" s="4">
        <v>148.30000000000001</v>
      </c>
      <c r="K171" s="4">
        <v>30</v>
      </c>
      <c r="L171" s="4">
        <v>29</v>
      </c>
      <c r="M171" s="4">
        <v>135</v>
      </c>
      <c r="N171" s="4">
        <v>149</v>
      </c>
      <c r="O171" s="4">
        <v>43.3</v>
      </c>
      <c r="P171" s="4">
        <v>47700</v>
      </c>
      <c r="Q171" s="4">
        <v>1.24</v>
      </c>
      <c r="R171" s="4">
        <v>5.9</v>
      </c>
      <c r="S171" s="4">
        <v>255</v>
      </c>
      <c r="T171" s="4">
        <v>27.6</v>
      </c>
      <c r="U171" s="4">
        <v>457</v>
      </c>
      <c r="V171" s="4">
        <v>12.6</v>
      </c>
      <c r="W171" s="4">
        <v>17.399999999999999</v>
      </c>
      <c r="X171" s="4">
        <v>1570</v>
      </c>
      <c r="Y171" s="4">
        <v>0.7</v>
      </c>
      <c r="AA171">
        <f t="shared" si="13"/>
        <v>21.464281543423255</v>
      </c>
      <c r="AB171">
        <f t="shared" si="12"/>
        <v>12.501305004177443</v>
      </c>
      <c r="AC171">
        <f t="shared" si="14"/>
        <v>0.40184757505773672</v>
      </c>
      <c r="AD171">
        <f t="shared" si="15"/>
        <v>2.6000000000003354E-2</v>
      </c>
      <c r="AI171" s="94">
        <f t="shared" si="16"/>
        <v>0.49230769230769234</v>
      </c>
    </row>
    <row r="172" spans="1:35">
      <c r="A172" s="4">
        <v>167</v>
      </c>
      <c r="B172" s="6" t="s">
        <v>1433</v>
      </c>
      <c r="C172" s="4">
        <v>65</v>
      </c>
      <c r="D172" s="4">
        <v>17</v>
      </c>
      <c r="E172" s="4">
        <v>17</v>
      </c>
      <c r="F172" s="4" t="s">
        <v>1469</v>
      </c>
      <c r="G172" s="4" t="s">
        <v>1529</v>
      </c>
      <c r="H172" s="4">
        <v>3.3</v>
      </c>
      <c r="I172" s="4">
        <v>13.2</v>
      </c>
      <c r="J172" s="4">
        <v>16.5</v>
      </c>
      <c r="K172" s="4">
        <v>27</v>
      </c>
      <c r="L172" s="4">
        <v>21</v>
      </c>
      <c r="M172" s="8" t="s">
        <v>1425</v>
      </c>
      <c r="N172" s="4">
        <v>133</v>
      </c>
      <c r="O172" s="4">
        <v>3.5</v>
      </c>
      <c r="P172" s="4">
        <v>41500</v>
      </c>
      <c r="Q172" s="4">
        <v>1.32</v>
      </c>
      <c r="R172" s="4">
        <v>5.5</v>
      </c>
      <c r="S172" s="4">
        <v>19</v>
      </c>
      <c r="T172" s="4">
        <v>3.7</v>
      </c>
      <c r="U172" s="4" t="s">
        <v>1425</v>
      </c>
      <c r="V172" s="4" t="s">
        <v>1425</v>
      </c>
      <c r="W172" s="4">
        <v>1.5</v>
      </c>
      <c r="X172" s="4">
        <v>950</v>
      </c>
      <c r="Y172" s="4" t="s">
        <v>1425</v>
      </c>
      <c r="AA172">
        <f t="shared" si="13"/>
        <v>3.4048201998037113</v>
      </c>
      <c r="AB172">
        <f t="shared" si="12"/>
        <v>184.82891379966517</v>
      </c>
      <c r="AC172">
        <f t="shared" si="14"/>
        <v>0.42857142857142855</v>
      </c>
      <c r="AD172">
        <f t="shared" si="15"/>
        <v>-4.9999999999998934E-3</v>
      </c>
      <c r="AI172" s="94">
        <f t="shared" si="16"/>
        <v>0.26153846153846155</v>
      </c>
    </row>
    <row r="173" spans="1:35">
      <c r="A173" s="4">
        <v>168</v>
      </c>
      <c r="B173" s="7"/>
      <c r="C173" s="4">
        <v>65</v>
      </c>
      <c r="D173" s="4">
        <v>21</v>
      </c>
      <c r="E173" s="4">
        <v>18</v>
      </c>
      <c r="F173" s="4" t="s">
        <v>1519</v>
      </c>
      <c r="G173" s="4" t="s">
        <v>1529</v>
      </c>
      <c r="H173" s="4">
        <v>3.8</v>
      </c>
      <c r="I173" s="4">
        <v>28.2</v>
      </c>
      <c r="J173" s="4">
        <v>32</v>
      </c>
      <c r="K173" s="4">
        <v>33</v>
      </c>
      <c r="L173" s="4">
        <v>29</v>
      </c>
      <c r="M173" s="8" t="s">
        <v>1425</v>
      </c>
      <c r="N173" s="4">
        <v>121</v>
      </c>
      <c r="O173" s="4">
        <v>9.3000000000000007</v>
      </c>
      <c r="P173" s="4">
        <v>48500</v>
      </c>
      <c r="Q173" s="4">
        <v>1.18</v>
      </c>
      <c r="R173" s="4">
        <v>5.7</v>
      </c>
      <c r="S173" s="4">
        <v>53</v>
      </c>
      <c r="T173" s="4">
        <v>4.2</v>
      </c>
      <c r="U173" s="4" t="s">
        <v>1425</v>
      </c>
      <c r="V173" s="4" t="s">
        <v>1425</v>
      </c>
      <c r="W173" s="4">
        <v>4.2</v>
      </c>
      <c r="X173" s="4">
        <v>2210</v>
      </c>
      <c r="Y173" s="4" t="s">
        <v>1425</v>
      </c>
      <c r="AA173">
        <f t="shared" si="13"/>
        <v>7.9406098787528387</v>
      </c>
      <c r="AB173">
        <f t="shared" si="12"/>
        <v>101.191329611445</v>
      </c>
      <c r="AC173">
        <f t="shared" si="14"/>
        <v>0.45161290322580644</v>
      </c>
      <c r="AD173">
        <f t="shared" si="15"/>
        <v>-1.8000000000000682E-2</v>
      </c>
      <c r="AI173" s="94">
        <f t="shared" si="16"/>
        <v>0.32307692307692309</v>
      </c>
    </row>
    <row r="174" spans="1:35">
      <c r="A174" s="4">
        <v>169</v>
      </c>
      <c r="B174" s="7"/>
      <c r="C174" s="4">
        <v>65</v>
      </c>
      <c r="D174" s="4">
        <v>24</v>
      </c>
      <c r="E174" s="4">
        <v>17</v>
      </c>
      <c r="F174" s="4" t="s">
        <v>1469</v>
      </c>
      <c r="G174" s="4" t="s">
        <v>1526</v>
      </c>
      <c r="H174" s="4">
        <v>2.6</v>
      </c>
      <c r="I174" s="4">
        <v>42.4</v>
      </c>
      <c r="J174" s="4">
        <v>45</v>
      </c>
      <c r="K174" s="4">
        <v>29</v>
      </c>
      <c r="L174" s="4">
        <v>27</v>
      </c>
      <c r="M174" s="8" t="s">
        <v>1425</v>
      </c>
      <c r="N174" s="4">
        <v>137</v>
      </c>
      <c r="O174" s="4">
        <v>12.1</v>
      </c>
      <c r="P174" s="4">
        <v>69000</v>
      </c>
      <c r="Q174" s="4">
        <v>0.91</v>
      </c>
      <c r="R174" s="4">
        <v>6.3</v>
      </c>
      <c r="S174" s="4">
        <v>76</v>
      </c>
      <c r="T174" s="4">
        <v>7.4</v>
      </c>
      <c r="U174" s="4" t="s">
        <v>1425</v>
      </c>
      <c r="V174" s="4" t="s">
        <v>1425</v>
      </c>
      <c r="W174" s="4">
        <v>5.0999999999999996</v>
      </c>
      <c r="X174" s="4">
        <v>1640</v>
      </c>
      <c r="Y174" s="4" t="s">
        <v>1425</v>
      </c>
      <c r="AA174">
        <f t="shared" si="13"/>
        <v>9.2327925788129726</v>
      </c>
      <c r="AB174">
        <f t="shared" si="12"/>
        <v>60.329511123742833</v>
      </c>
      <c r="AC174">
        <f t="shared" si="14"/>
        <v>0.42148760330578511</v>
      </c>
      <c r="AD174">
        <f t="shared" si="15"/>
        <v>-1.2999999999999901E-2</v>
      </c>
      <c r="AI174" s="94">
        <f t="shared" si="16"/>
        <v>0.36923076923076925</v>
      </c>
    </row>
    <row r="175" spans="1:35">
      <c r="A175" s="4">
        <v>170</v>
      </c>
      <c r="B175" s="6" t="s">
        <v>1434</v>
      </c>
      <c r="C175" s="4">
        <v>70</v>
      </c>
      <c r="D175" s="4">
        <v>17</v>
      </c>
      <c r="E175" s="4">
        <v>21</v>
      </c>
      <c r="F175" s="4" t="s">
        <v>1523</v>
      </c>
      <c r="G175" s="4" t="s">
        <v>1527</v>
      </c>
      <c r="H175" s="4">
        <v>8.1</v>
      </c>
      <c r="I175" s="4">
        <v>19.899999999999999</v>
      </c>
      <c r="J175" s="4">
        <v>28</v>
      </c>
      <c r="K175" s="4">
        <v>18</v>
      </c>
      <c r="L175" s="4">
        <v>12</v>
      </c>
      <c r="M175" s="4">
        <v>128</v>
      </c>
      <c r="N175" s="4">
        <v>133</v>
      </c>
      <c r="O175" s="4">
        <v>3.5</v>
      </c>
      <c r="P175" s="4">
        <v>76900</v>
      </c>
      <c r="Q175" s="4">
        <v>0.96</v>
      </c>
      <c r="R175" s="4">
        <v>7.4</v>
      </c>
      <c r="S175" s="4">
        <v>26</v>
      </c>
      <c r="T175" s="4">
        <v>1.2</v>
      </c>
      <c r="U175" s="4">
        <v>452</v>
      </c>
      <c r="V175" s="4">
        <v>0.5</v>
      </c>
      <c r="W175" s="4">
        <v>1.5</v>
      </c>
      <c r="X175" s="4">
        <v>2920</v>
      </c>
      <c r="Y175" s="4">
        <v>0.3</v>
      </c>
      <c r="AA175">
        <f t="shared" si="13"/>
        <v>3.4048201998037113</v>
      </c>
      <c r="AB175">
        <f t="shared" si="12"/>
        <v>309.59035220123548</v>
      </c>
      <c r="AC175">
        <f t="shared" si="14"/>
        <v>0.42857142857142855</v>
      </c>
      <c r="AD175">
        <f t="shared" si="15"/>
        <v>-4.9999999999998934E-3</v>
      </c>
      <c r="AI175" s="94">
        <f t="shared" si="16"/>
        <v>0.24285714285714285</v>
      </c>
    </row>
    <row r="176" spans="1:35">
      <c r="A176" s="4">
        <v>171</v>
      </c>
      <c r="B176" s="4" t="s">
        <v>1435</v>
      </c>
      <c r="C176" s="4">
        <v>70</v>
      </c>
      <c r="D176" s="4">
        <v>28</v>
      </c>
      <c r="E176" s="4">
        <v>26</v>
      </c>
      <c r="F176" s="4" t="s">
        <v>1469</v>
      </c>
      <c r="G176" s="4" t="s">
        <v>1528</v>
      </c>
      <c r="H176" s="4">
        <v>5.0999999999999996</v>
      </c>
      <c r="I176" s="4">
        <v>53.7</v>
      </c>
      <c r="J176" s="4">
        <v>58.8</v>
      </c>
      <c r="K176" s="4">
        <v>25</v>
      </c>
      <c r="L176" s="4">
        <v>23</v>
      </c>
      <c r="M176" s="4">
        <v>132</v>
      </c>
      <c r="N176" s="4">
        <v>144</v>
      </c>
      <c r="O176" s="4">
        <v>13.4</v>
      </c>
      <c r="P176" s="4">
        <v>38600</v>
      </c>
      <c r="Q176" s="4">
        <v>1.46</v>
      </c>
      <c r="R176" s="4">
        <v>5.6</v>
      </c>
      <c r="S176" s="4">
        <v>75</v>
      </c>
      <c r="T176" s="4">
        <v>14.2</v>
      </c>
      <c r="U176" s="4">
        <v>450</v>
      </c>
      <c r="V176" s="4">
        <v>6.4</v>
      </c>
      <c r="W176" s="4">
        <v>5.5</v>
      </c>
      <c r="X176" s="4">
        <v>940</v>
      </c>
      <c r="Y176" s="4">
        <v>1.2</v>
      </c>
      <c r="AA176">
        <f t="shared" si="13"/>
        <v>9.7804361185521369</v>
      </c>
      <c r="AB176">
        <f t="shared" si="12"/>
        <v>263.07425250436802</v>
      </c>
      <c r="AC176">
        <f t="shared" si="14"/>
        <v>0.41044776119402981</v>
      </c>
      <c r="AD176">
        <f t="shared" si="15"/>
        <v>1.9999999999999574E-2</v>
      </c>
      <c r="AI176" s="94">
        <f t="shared" si="16"/>
        <v>0.4</v>
      </c>
    </row>
    <row r="177" spans="1:35">
      <c r="A177" s="4">
        <v>172</v>
      </c>
      <c r="B177" s="7"/>
      <c r="C177" s="4">
        <v>70</v>
      </c>
      <c r="D177" s="4">
        <v>37</v>
      </c>
      <c r="E177" s="4">
        <v>27</v>
      </c>
      <c r="F177" s="4" t="s">
        <v>1519</v>
      </c>
      <c r="G177" s="4" t="s">
        <v>1527</v>
      </c>
      <c r="H177" s="4">
        <v>4.3</v>
      </c>
      <c r="I177" s="4">
        <v>160.1</v>
      </c>
      <c r="J177" s="4">
        <v>164.4</v>
      </c>
      <c r="K177" s="4">
        <v>26</v>
      </c>
      <c r="L177" s="4">
        <v>25</v>
      </c>
      <c r="M177" s="4">
        <v>134</v>
      </c>
      <c r="N177" s="4">
        <v>139</v>
      </c>
      <c r="O177" s="4">
        <v>41.5</v>
      </c>
      <c r="P177" s="4">
        <v>51400</v>
      </c>
      <c r="Q177" s="4">
        <v>1.17</v>
      </c>
      <c r="R177" s="4">
        <v>6</v>
      </c>
      <c r="S177" s="4">
        <v>249</v>
      </c>
      <c r="T177" s="4">
        <v>29.7</v>
      </c>
      <c r="U177" s="4">
        <v>403</v>
      </c>
      <c r="V177" s="4">
        <v>12</v>
      </c>
      <c r="W177" s="4">
        <v>17.399999999999999</v>
      </c>
      <c r="X177" s="4">
        <v>1400</v>
      </c>
      <c r="Y177" s="4">
        <v>0.7</v>
      </c>
      <c r="AA177">
        <f t="shared" si="13"/>
        <v>21.464281543423255</v>
      </c>
      <c r="AB177">
        <f t="shared" si="12"/>
        <v>30.644178830484424</v>
      </c>
      <c r="AC177">
        <f t="shared" si="14"/>
        <v>0.41927710843373489</v>
      </c>
      <c r="AD177">
        <f t="shared" si="15"/>
        <v>8.5999999999991417E-2</v>
      </c>
      <c r="AI177" s="94">
        <f t="shared" si="16"/>
        <v>0.52857142857142858</v>
      </c>
    </row>
    <row r="178" spans="1:35">
      <c r="A178" s="4">
        <v>173</v>
      </c>
      <c r="B178" s="6" t="s">
        <v>1436</v>
      </c>
      <c r="C178" s="4">
        <v>71</v>
      </c>
      <c r="D178" s="4">
        <v>29</v>
      </c>
      <c r="E178" s="4">
        <v>27</v>
      </c>
      <c r="F178" s="4" t="s">
        <v>1519</v>
      </c>
      <c r="G178" s="4" t="s">
        <v>1525</v>
      </c>
      <c r="H178" s="4">
        <v>4.5</v>
      </c>
      <c r="I178" s="4">
        <v>74.5</v>
      </c>
      <c r="J178" s="4">
        <v>79</v>
      </c>
      <c r="K178" s="4">
        <v>22</v>
      </c>
      <c r="L178" s="4">
        <v>20</v>
      </c>
      <c r="M178" s="4">
        <v>155</v>
      </c>
      <c r="N178" s="4">
        <v>150</v>
      </c>
      <c r="O178" s="4">
        <v>16.100000000000001</v>
      </c>
      <c r="P178" s="4">
        <v>45600</v>
      </c>
      <c r="Q178" s="4">
        <v>1.28</v>
      </c>
      <c r="R178" s="4">
        <v>5.8</v>
      </c>
      <c r="S178" s="4">
        <v>93</v>
      </c>
      <c r="T178" s="4">
        <v>15.7</v>
      </c>
      <c r="U178" s="4">
        <v>425</v>
      </c>
      <c r="V178" s="4">
        <v>6.7</v>
      </c>
      <c r="W178" s="4">
        <v>6.3</v>
      </c>
      <c r="X178" s="4">
        <v>1030</v>
      </c>
      <c r="Y178" s="4">
        <v>1.1000000000000001</v>
      </c>
      <c r="AA178">
        <f t="shared" si="13"/>
        <v>10.831577017586472</v>
      </c>
      <c r="AB178">
        <f t="shared" si="12"/>
        <v>261.41790173823796</v>
      </c>
      <c r="AC178">
        <f t="shared" si="14"/>
        <v>0.39130434782608692</v>
      </c>
      <c r="AD178">
        <f t="shared" si="15"/>
        <v>-0.35000000000000142</v>
      </c>
      <c r="AI178" s="94">
        <f t="shared" si="16"/>
        <v>0.40845070422535212</v>
      </c>
    </row>
    <row r="179" spans="1:35">
      <c r="A179" s="4">
        <v>174</v>
      </c>
      <c r="B179" s="6" t="s">
        <v>1437</v>
      </c>
      <c r="C179" s="4">
        <v>80</v>
      </c>
      <c r="D179" s="4">
        <v>25</v>
      </c>
      <c r="E179" s="4">
        <v>27</v>
      </c>
      <c r="F179" s="4" t="s">
        <v>1469</v>
      </c>
      <c r="G179" s="4" t="s">
        <v>1526</v>
      </c>
      <c r="H179" s="4">
        <v>6.1</v>
      </c>
      <c r="I179" s="4">
        <v>23.4</v>
      </c>
      <c r="J179" s="4">
        <v>29.5</v>
      </c>
      <c r="K179" s="4">
        <v>31</v>
      </c>
      <c r="L179" s="4">
        <v>24</v>
      </c>
      <c r="M179" s="4">
        <v>134</v>
      </c>
      <c r="N179" s="4">
        <v>148</v>
      </c>
      <c r="O179" s="4">
        <v>7.2</v>
      </c>
      <c r="P179" s="4">
        <v>32000</v>
      </c>
      <c r="Q179" s="4">
        <v>1.64</v>
      </c>
      <c r="R179" s="4">
        <v>5.2</v>
      </c>
      <c r="S179" s="4">
        <v>37</v>
      </c>
      <c r="T179" s="4">
        <v>5.5</v>
      </c>
      <c r="U179" s="4">
        <v>503</v>
      </c>
      <c r="V179" s="4">
        <v>2.8</v>
      </c>
      <c r="W179" s="4">
        <v>2.9</v>
      </c>
      <c r="X179" s="4">
        <v>1310</v>
      </c>
      <c r="Y179" s="4">
        <v>1</v>
      </c>
      <c r="AA179">
        <f t="shared" si="13"/>
        <v>5.9022469857511899</v>
      </c>
      <c r="AB179">
        <f t="shared" si="12"/>
        <v>445.11518225024474</v>
      </c>
      <c r="AC179">
        <f t="shared" si="14"/>
        <v>0.40277777777777773</v>
      </c>
      <c r="AD179">
        <f t="shared" si="15"/>
        <v>-8.0000000000000071E-3</v>
      </c>
      <c r="AI179" s="94">
        <f t="shared" si="16"/>
        <v>0.3125</v>
      </c>
    </row>
    <row r="180" spans="1:35">
      <c r="A180" s="4">
        <v>175</v>
      </c>
      <c r="B180" s="4" t="s">
        <v>1438</v>
      </c>
      <c r="C180" s="4">
        <v>80</v>
      </c>
      <c r="D180" s="4">
        <v>29</v>
      </c>
      <c r="E180" s="4">
        <v>29</v>
      </c>
      <c r="F180" s="4" t="s">
        <v>1469</v>
      </c>
      <c r="G180" s="4" t="s">
        <v>1525</v>
      </c>
      <c r="H180" s="4">
        <v>4.5</v>
      </c>
      <c r="I180" s="4">
        <v>50.1</v>
      </c>
      <c r="J180" s="4">
        <v>54.6</v>
      </c>
      <c r="K180" s="4">
        <v>28</v>
      </c>
      <c r="L180" s="4">
        <v>26</v>
      </c>
      <c r="M180" s="4">
        <v>138</v>
      </c>
      <c r="N180" s="4">
        <v>155</v>
      </c>
      <c r="O180" s="4">
        <v>14</v>
      </c>
      <c r="P180" s="4">
        <v>34900</v>
      </c>
      <c r="Q180" s="4">
        <v>1.54</v>
      </c>
      <c r="R180" s="4">
        <v>5.4</v>
      </c>
      <c r="S180" s="4">
        <v>76</v>
      </c>
      <c r="T180" s="4">
        <v>11.4</v>
      </c>
      <c r="U180" s="4">
        <v>487</v>
      </c>
      <c r="V180" s="4">
        <v>5.6</v>
      </c>
      <c r="W180" s="4">
        <v>5.5</v>
      </c>
      <c r="X180" s="4">
        <v>1230</v>
      </c>
      <c r="Y180" s="4">
        <v>1</v>
      </c>
      <c r="AA180">
        <f t="shared" si="13"/>
        <v>9.7804361185521369</v>
      </c>
      <c r="AB180">
        <f t="shared" si="12"/>
        <v>369.39163579305517</v>
      </c>
      <c r="AC180">
        <f t="shared" si="14"/>
        <v>0.39285714285714285</v>
      </c>
      <c r="AD180">
        <f t="shared" si="15"/>
        <v>2.4999999999998579E-2</v>
      </c>
      <c r="AI180" s="94">
        <f t="shared" si="16"/>
        <v>0.36249999999999999</v>
      </c>
    </row>
    <row r="181" spans="1:35">
      <c r="A181" s="4">
        <v>176</v>
      </c>
      <c r="B181" s="7"/>
      <c r="C181" s="4">
        <v>80</v>
      </c>
      <c r="D181" s="4">
        <v>35</v>
      </c>
      <c r="E181" s="4">
        <v>31</v>
      </c>
      <c r="F181" s="4" t="s">
        <v>1519</v>
      </c>
      <c r="G181" s="4" t="s">
        <v>1525</v>
      </c>
      <c r="H181" s="4">
        <v>5.4</v>
      </c>
      <c r="I181" s="4">
        <v>96.1</v>
      </c>
      <c r="J181" s="4">
        <v>101.5</v>
      </c>
      <c r="K181" s="4">
        <v>23</v>
      </c>
      <c r="L181" s="4">
        <v>21</v>
      </c>
      <c r="M181" s="4">
        <v>128</v>
      </c>
      <c r="N181" s="4">
        <v>155</v>
      </c>
      <c r="O181" s="4">
        <v>21.7</v>
      </c>
      <c r="P181" s="4">
        <v>33000</v>
      </c>
      <c r="Q181" s="4">
        <v>1.69</v>
      </c>
      <c r="R181" s="4">
        <v>5.6</v>
      </c>
      <c r="S181" s="4">
        <v>122</v>
      </c>
      <c r="T181" s="4">
        <v>18</v>
      </c>
      <c r="U181" s="4">
        <v>486</v>
      </c>
      <c r="V181" s="4">
        <v>8.6999999999999993</v>
      </c>
      <c r="W181" s="4">
        <v>8.5</v>
      </c>
      <c r="X181" s="4">
        <v>1210</v>
      </c>
      <c r="Y181" s="4">
        <v>1</v>
      </c>
      <c r="AA181">
        <f t="shared" si="13"/>
        <v>13.461031754354963</v>
      </c>
      <c r="AB181">
        <f t="shared" si="12"/>
        <v>307.61540712174497</v>
      </c>
      <c r="AC181">
        <f t="shared" si="14"/>
        <v>0.39170506912442399</v>
      </c>
      <c r="AD181">
        <f t="shared" si="15"/>
        <v>-2.5000000000002132E-2</v>
      </c>
      <c r="AI181" s="94">
        <f t="shared" si="16"/>
        <v>0.4375</v>
      </c>
    </row>
    <row r="182" spans="1:35">
      <c r="A182" s="4">
        <v>177</v>
      </c>
      <c r="B182" s="7"/>
      <c r="C182" s="4">
        <v>80</v>
      </c>
      <c r="D182" s="4">
        <v>39</v>
      </c>
      <c r="E182" s="4">
        <v>31</v>
      </c>
      <c r="F182" s="4" t="s">
        <v>1519</v>
      </c>
      <c r="G182" s="4" t="s">
        <v>1525</v>
      </c>
      <c r="H182" s="4">
        <v>3.7</v>
      </c>
      <c r="I182" s="4">
        <v>260.7</v>
      </c>
      <c r="J182" s="4">
        <v>264.39999999999998</v>
      </c>
      <c r="K182" s="4">
        <v>18</v>
      </c>
      <c r="L182" s="4">
        <v>18</v>
      </c>
      <c r="M182" s="4">
        <v>159</v>
      </c>
      <c r="N182" s="4">
        <v>164</v>
      </c>
      <c r="O182" s="4">
        <v>46.7</v>
      </c>
      <c r="P182" s="4">
        <v>26900</v>
      </c>
      <c r="Q182" s="4">
        <v>1.76</v>
      </c>
      <c r="R182" s="4">
        <v>4.7</v>
      </c>
      <c r="S182" s="4">
        <v>219</v>
      </c>
      <c r="T182" s="4">
        <v>45.8</v>
      </c>
      <c r="U182" s="4">
        <v>422</v>
      </c>
      <c r="V182" s="4">
        <v>19.3</v>
      </c>
      <c r="W182" s="4">
        <v>17.7</v>
      </c>
      <c r="X182" s="4">
        <v>1020</v>
      </c>
      <c r="Y182" s="4">
        <v>1.1000000000000001</v>
      </c>
      <c r="AA182">
        <f t="shared" si="13"/>
        <v>21.68161892230761</v>
      </c>
      <c r="AB182">
        <f t="shared" si="12"/>
        <v>86.832225909095584</v>
      </c>
      <c r="AC182">
        <f t="shared" si="14"/>
        <v>0.37901498929336186</v>
      </c>
      <c r="AD182">
        <f t="shared" si="15"/>
        <v>2.7999999999991587E-2</v>
      </c>
      <c r="AI182" s="94">
        <f t="shared" si="16"/>
        <v>0.48749999999999999</v>
      </c>
    </row>
    <row r="183" spans="1:35">
      <c r="A183" s="4">
        <v>178</v>
      </c>
      <c r="B183" s="4" t="s">
        <v>1439</v>
      </c>
      <c r="C183" s="4">
        <v>81</v>
      </c>
      <c r="D183" s="4">
        <v>24</v>
      </c>
      <c r="E183" s="4">
        <v>21</v>
      </c>
      <c r="F183" s="4" t="s">
        <v>1469</v>
      </c>
      <c r="G183" s="4" t="s">
        <v>1526</v>
      </c>
      <c r="H183" s="4">
        <v>4.4000000000000004</v>
      </c>
      <c r="I183" s="4">
        <v>28.9</v>
      </c>
      <c r="J183" s="4">
        <v>33.299999999999997</v>
      </c>
      <c r="K183" s="4">
        <v>35</v>
      </c>
      <c r="L183" s="4">
        <v>30</v>
      </c>
      <c r="M183" s="4">
        <v>126</v>
      </c>
      <c r="N183" s="4">
        <v>120</v>
      </c>
      <c r="O183" s="4">
        <v>10.1</v>
      </c>
      <c r="P183" s="4">
        <v>44600</v>
      </c>
      <c r="Q183" s="4">
        <v>1.3</v>
      </c>
      <c r="R183" s="4">
        <v>5.8</v>
      </c>
      <c r="S183" s="4">
        <v>59</v>
      </c>
      <c r="T183" s="4">
        <v>4.5</v>
      </c>
      <c r="U183" s="4">
        <v>490</v>
      </c>
      <c r="V183" s="4">
        <v>2.2000000000000002</v>
      </c>
      <c r="W183" s="4">
        <v>4.5999999999999996</v>
      </c>
      <c r="X183" s="4">
        <v>2240</v>
      </c>
      <c r="Y183" s="4">
        <v>0.5</v>
      </c>
      <c r="AA183">
        <f t="shared" si="13"/>
        <v>8.525683245392857</v>
      </c>
      <c r="AB183">
        <f t="shared" si="12"/>
        <v>155.60857849427248</v>
      </c>
      <c r="AC183">
        <f t="shared" si="14"/>
        <v>0.45544554455445541</v>
      </c>
      <c r="AD183">
        <f t="shared" si="15"/>
        <v>1.9999999999999574E-2</v>
      </c>
      <c r="AI183" s="94">
        <f t="shared" si="16"/>
        <v>0.29629629629629628</v>
      </c>
    </row>
    <row r="184" spans="1:35">
      <c r="A184" s="4">
        <v>179</v>
      </c>
      <c r="B184" s="4" t="s">
        <v>1440</v>
      </c>
      <c r="C184" s="4">
        <v>81</v>
      </c>
      <c r="D184" s="4">
        <v>27</v>
      </c>
      <c r="E184" s="4">
        <v>21</v>
      </c>
      <c r="F184" s="4" t="s">
        <v>1469</v>
      </c>
      <c r="G184" s="4" t="s">
        <v>1529</v>
      </c>
      <c r="H184" s="4">
        <v>4.5999999999999996</v>
      </c>
      <c r="I184" s="4">
        <v>49.8</v>
      </c>
      <c r="J184" s="4">
        <v>54.4</v>
      </c>
      <c r="K184" s="4">
        <v>25</v>
      </c>
      <c r="L184" s="4">
        <v>23</v>
      </c>
      <c r="M184" s="4">
        <v>137</v>
      </c>
      <c r="N184" s="4">
        <v>138</v>
      </c>
      <c r="O184" s="4">
        <v>12.4</v>
      </c>
      <c r="P184" s="4">
        <v>37600</v>
      </c>
      <c r="Q184" s="4">
        <v>1.5</v>
      </c>
      <c r="R184" s="4">
        <v>5.6</v>
      </c>
      <c r="S184" s="4">
        <v>69</v>
      </c>
      <c r="T184" s="4">
        <v>6</v>
      </c>
      <c r="U184" s="4">
        <v>488</v>
      </c>
      <c r="V184" s="4">
        <v>2.9</v>
      </c>
      <c r="W184" s="4">
        <v>5.2</v>
      </c>
      <c r="X184" s="4">
        <v>2070</v>
      </c>
      <c r="Y184" s="4">
        <v>0.6</v>
      </c>
      <c r="AA184">
        <f t="shared" si="13"/>
        <v>9.3711596590385451</v>
      </c>
      <c r="AB184">
        <f t="shared" si="12"/>
        <v>135.22992767557253</v>
      </c>
      <c r="AC184">
        <f t="shared" si="14"/>
        <v>0.41935483870967744</v>
      </c>
      <c r="AD184">
        <f t="shared" si="15"/>
        <v>-2.4000000000000909E-2</v>
      </c>
      <c r="AI184" s="94">
        <f t="shared" si="16"/>
        <v>0.33333333333333331</v>
      </c>
    </row>
    <row r="185" spans="1:35">
      <c r="A185" s="4">
        <v>180</v>
      </c>
      <c r="B185" s="7"/>
      <c r="C185" s="4">
        <v>81</v>
      </c>
      <c r="D185" s="4">
        <v>32</v>
      </c>
      <c r="E185" s="4">
        <v>21</v>
      </c>
      <c r="F185" s="4" t="s">
        <v>1519</v>
      </c>
      <c r="G185" s="4" t="s">
        <v>1528</v>
      </c>
      <c r="H185" s="4">
        <v>6.5</v>
      </c>
      <c r="I185" s="4">
        <v>51</v>
      </c>
      <c r="J185" s="4">
        <v>57.5</v>
      </c>
      <c r="K185" s="4">
        <v>18</v>
      </c>
      <c r="L185" s="4">
        <v>16</v>
      </c>
      <c r="M185" s="4">
        <v>151</v>
      </c>
      <c r="N185" s="4">
        <v>127</v>
      </c>
      <c r="O185" s="4">
        <v>9.3000000000000007</v>
      </c>
      <c r="P185" s="4">
        <v>61600</v>
      </c>
      <c r="Q185" s="4">
        <v>0.99</v>
      </c>
      <c r="R185" s="4">
        <v>6.1</v>
      </c>
      <c r="S185" s="4">
        <v>57</v>
      </c>
      <c r="T185" s="4">
        <v>12.1</v>
      </c>
      <c r="U185" s="4">
        <v>418</v>
      </c>
      <c r="V185" s="4">
        <v>5.0999999999999996</v>
      </c>
      <c r="W185" s="4">
        <v>4.0999999999999996</v>
      </c>
      <c r="X185" s="4">
        <v>770</v>
      </c>
      <c r="Y185" s="4">
        <v>1.2</v>
      </c>
      <c r="AA185">
        <f t="shared" si="13"/>
        <v>7.7914873552319701</v>
      </c>
      <c r="AB185">
        <f t="shared" si="12"/>
        <v>174.46480628699695</v>
      </c>
      <c r="AC185">
        <f t="shared" si="14"/>
        <v>0.44086021505376338</v>
      </c>
      <c r="AD185">
        <f t="shared" si="15"/>
        <v>6.9999999999978968E-3</v>
      </c>
      <c r="AI185" s="94">
        <f t="shared" si="16"/>
        <v>0.39506172839506171</v>
      </c>
    </row>
    <row r="186" spans="1:35">
      <c r="A186" s="4">
        <v>181</v>
      </c>
      <c r="B186" s="4" t="s">
        <v>1441</v>
      </c>
      <c r="C186" s="4">
        <v>82</v>
      </c>
      <c r="D186" s="4">
        <v>23</v>
      </c>
      <c r="E186" s="4">
        <v>26</v>
      </c>
      <c r="F186" s="4" t="s">
        <v>1469</v>
      </c>
      <c r="G186" s="4" t="s">
        <v>1528</v>
      </c>
      <c r="H186" s="4">
        <v>6.7</v>
      </c>
      <c r="I186" s="4">
        <v>15.3</v>
      </c>
      <c r="J186" s="4">
        <v>22</v>
      </c>
      <c r="K186" s="4">
        <v>29</v>
      </c>
      <c r="L186" s="4">
        <v>20</v>
      </c>
      <c r="M186" s="4">
        <v>155</v>
      </c>
      <c r="N186" s="4">
        <v>165</v>
      </c>
      <c r="O186" s="4">
        <v>4.5</v>
      </c>
      <c r="P186" s="4">
        <v>24200</v>
      </c>
      <c r="Q186" s="4">
        <v>1.9</v>
      </c>
      <c r="R186" s="4">
        <v>4.5999999999999996</v>
      </c>
      <c r="S186" s="4">
        <v>21</v>
      </c>
      <c r="T186" s="4">
        <v>2.8</v>
      </c>
      <c r="U186" s="4">
        <v>426</v>
      </c>
      <c r="V186" s="4">
        <v>1.2</v>
      </c>
      <c r="W186" s="4">
        <v>1.7</v>
      </c>
      <c r="X186" s="4">
        <v>1610</v>
      </c>
      <c r="Y186" s="4">
        <v>0.7</v>
      </c>
      <c r="AA186">
        <f t="shared" si="13"/>
        <v>3.7862053935693911</v>
      </c>
      <c r="AB186">
        <f t="shared" si="12"/>
        <v>493.45267081668567</v>
      </c>
      <c r="AC186">
        <f t="shared" si="14"/>
        <v>0.37777777777777777</v>
      </c>
      <c r="AD186">
        <f t="shared" si="15"/>
        <v>4.9999999999998934E-3</v>
      </c>
      <c r="AI186" s="94">
        <f t="shared" si="16"/>
        <v>0.28048780487804881</v>
      </c>
    </row>
    <row r="187" spans="1:35">
      <c r="A187" s="4">
        <v>182</v>
      </c>
      <c r="B187" s="4" t="s">
        <v>1442</v>
      </c>
      <c r="C187" s="4">
        <v>82</v>
      </c>
      <c r="D187" s="4">
        <v>26</v>
      </c>
      <c r="E187" s="4">
        <v>28</v>
      </c>
      <c r="F187" s="4" t="s">
        <v>1469</v>
      </c>
      <c r="G187" s="4" t="s">
        <v>1526</v>
      </c>
      <c r="H187" s="4">
        <v>6.6</v>
      </c>
      <c r="I187" s="4">
        <v>43.7</v>
      </c>
      <c r="J187" s="4">
        <v>50.3</v>
      </c>
      <c r="K187" s="4">
        <v>30</v>
      </c>
      <c r="L187" s="4">
        <v>26</v>
      </c>
      <c r="M187" s="4">
        <v>134</v>
      </c>
      <c r="N187" s="9">
        <v>136</v>
      </c>
      <c r="O187" s="4">
        <v>13</v>
      </c>
      <c r="P187" s="4">
        <v>23800</v>
      </c>
      <c r="Q187" s="4">
        <v>1.99</v>
      </c>
      <c r="R187" s="4">
        <v>4.7</v>
      </c>
      <c r="S187" s="4">
        <v>61</v>
      </c>
      <c r="T187" s="4">
        <v>11.6</v>
      </c>
      <c r="U187" s="4">
        <v>428</v>
      </c>
      <c r="V187" s="4">
        <v>5.2</v>
      </c>
      <c r="W187" s="4">
        <v>5.5</v>
      </c>
      <c r="X187" s="4">
        <v>1120</v>
      </c>
      <c r="Y187" s="4">
        <v>0.9</v>
      </c>
      <c r="AA187">
        <f t="shared" si="13"/>
        <v>9.7804361185521369</v>
      </c>
      <c r="AB187">
        <f t="shared" si="12"/>
        <v>331.95250803015944</v>
      </c>
      <c r="AC187">
        <f t="shared" si="14"/>
        <v>0.42307692307692307</v>
      </c>
      <c r="AD187">
        <f t="shared" si="15"/>
        <v>-1.9999999999997797E-2</v>
      </c>
      <c r="AI187" s="94">
        <f t="shared" si="16"/>
        <v>0.31707317073170732</v>
      </c>
    </row>
    <row r="188" spans="1:35">
      <c r="A188" s="4">
        <v>183</v>
      </c>
      <c r="B188" s="7"/>
      <c r="C188" s="4">
        <v>82</v>
      </c>
      <c r="D188" s="4">
        <v>29</v>
      </c>
      <c r="E188" s="4">
        <v>27</v>
      </c>
      <c r="F188" s="4" t="s">
        <v>1469</v>
      </c>
      <c r="G188" s="4" t="s">
        <v>1525</v>
      </c>
      <c r="H188" s="4">
        <v>4.8</v>
      </c>
      <c r="I188" s="4">
        <v>52</v>
      </c>
      <c r="J188" s="4">
        <v>56.8</v>
      </c>
      <c r="K188" s="4">
        <v>31</v>
      </c>
      <c r="L188" s="4">
        <v>28</v>
      </c>
      <c r="M188" s="4">
        <v>138</v>
      </c>
      <c r="N188" s="9">
        <v>167</v>
      </c>
      <c r="O188" s="4">
        <v>16</v>
      </c>
      <c r="P188" s="4">
        <v>32300</v>
      </c>
      <c r="Q188" s="4">
        <v>1.71</v>
      </c>
      <c r="R188" s="4">
        <v>5.5</v>
      </c>
      <c r="S188" s="4">
        <v>88</v>
      </c>
      <c r="T188" s="4">
        <v>16.600000000000001</v>
      </c>
      <c r="U188" s="4">
        <v>438</v>
      </c>
      <c r="V188" s="4">
        <v>7.3</v>
      </c>
      <c r="W188" s="4">
        <v>6</v>
      </c>
      <c r="X188" s="4">
        <v>960</v>
      </c>
      <c r="Y188" s="4">
        <v>1.2</v>
      </c>
      <c r="AA188">
        <f t="shared" si="13"/>
        <v>10.444000946363555</v>
      </c>
      <c r="AB188">
        <f t="shared" si="12"/>
        <v>274.10110466401085</v>
      </c>
      <c r="AC188">
        <f t="shared" si="14"/>
        <v>0.375</v>
      </c>
      <c r="AD188">
        <f t="shared" si="15"/>
        <v>1.9999999999999574E-2</v>
      </c>
      <c r="AI188" s="94">
        <f t="shared" si="16"/>
        <v>0.35365853658536583</v>
      </c>
    </row>
    <row r="189" spans="1:35">
      <c r="A189" s="4">
        <v>184</v>
      </c>
      <c r="B189" s="7"/>
      <c r="C189" s="4">
        <v>82</v>
      </c>
      <c r="D189" s="4">
        <v>32</v>
      </c>
      <c r="E189" s="4">
        <v>27</v>
      </c>
      <c r="F189" s="4" t="s">
        <v>1469</v>
      </c>
      <c r="G189" s="4" t="s">
        <v>1526</v>
      </c>
      <c r="H189" s="4">
        <v>4.8</v>
      </c>
      <c r="I189" s="4">
        <v>66.2</v>
      </c>
      <c r="J189" s="4">
        <v>71</v>
      </c>
      <c r="K189" s="4">
        <v>24</v>
      </c>
      <c r="L189" s="4">
        <v>22</v>
      </c>
      <c r="M189" s="4">
        <v>147</v>
      </c>
      <c r="N189" s="4">
        <v>164</v>
      </c>
      <c r="O189" s="4">
        <v>15.6</v>
      </c>
      <c r="P189" s="4">
        <v>25700</v>
      </c>
      <c r="Q189" s="4">
        <v>1.93</v>
      </c>
      <c r="R189" s="4">
        <v>5</v>
      </c>
      <c r="S189" s="4">
        <v>78</v>
      </c>
      <c r="T189" s="4">
        <v>13.8</v>
      </c>
      <c r="U189" s="4">
        <v>424</v>
      </c>
      <c r="V189" s="4">
        <v>5.9</v>
      </c>
      <c r="W189" s="4">
        <v>5.9</v>
      </c>
      <c r="X189" s="4">
        <v>1130</v>
      </c>
      <c r="Y189" s="4">
        <v>1</v>
      </c>
      <c r="AA189">
        <f t="shared" si="13"/>
        <v>10.313081612261403</v>
      </c>
      <c r="AB189">
        <f t="shared" si="12"/>
        <v>278.45324527904847</v>
      </c>
      <c r="AC189">
        <f t="shared" si="14"/>
        <v>0.37820512820512825</v>
      </c>
      <c r="AD189">
        <f t="shared" si="15"/>
        <v>-2.4000000000000909E-2</v>
      </c>
      <c r="AI189" s="94">
        <f t="shared" si="16"/>
        <v>0.3902439024390244</v>
      </c>
    </row>
    <row r="190" spans="1:35">
      <c r="A190" s="4">
        <v>185</v>
      </c>
      <c r="B190" s="7"/>
      <c r="C190" s="4">
        <v>82</v>
      </c>
      <c r="D190" s="4">
        <v>37</v>
      </c>
      <c r="E190" s="4">
        <v>29</v>
      </c>
      <c r="F190" s="4" t="s">
        <v>1519</v>
      </c>
      <c r="G190" s="4" t="s">
        <v>1525</v>
      </c>
      <c r="H190" s="4">
        <v>4</v>
      </c>
      <c r="I190" s="4">
        <v>114.8</v>
      </c>
      <c r="J190" s="4">
        <v>118.8</v>
      </c>
      <c r="K190" s="4">
        <v>19</v>
      </c>
      <c r="L190" s="4">
        <v>19</v>
      </c>
      <c r="M190" s="4">
        <v>143</v>
      </c>
      <c r="N190" s="9">
        <v>138</v>
      </c>
      <c r="O190" s="4">
        <v>22.4</v>
      </c>
      <c r="P190" s="4">
        <v>37000</v>
      </c>
      <c r="Q190" s="4">
        <v>1.46</v>
      </c>
      <c r="R190" s="4">
        <v>5.4</v>
      </c>
      <c r="S190" s="4">
        <v>121</v>
      </c>
      <c r="T190" s="4">
        <v>22.6</v>
      </c>
      <c r="U190" s="4">
        <v>451</v>
      </c>
      <c r="V190" s="4">
        <v>10.199999999999999</v>
      </c>
      <c r="W190" s="4">
        <v>9.4</v>
      </c>
      <c r="X190" s="4">
        <v>990</v>
      </c>
      <c r="Y190" s="4">
        <v>1.1000000000000001</v>
      </c>
      <c r="AA190">
        <f t="shared" si="13"/>
        <v>14.442342945801553</v>
      </c>
      <c r="AB190">
        <f t="shared" si="12"/>
        <v>211.92537890765382</v>
      </c>
      <c r="AC190">
        <f t="shared" si="14"/>
        <v>0.41964285714285721</v>
      </c>
      <c r="AD190">
        <f t="shared" si="15"/>
        <v>-2.7999999999998693E-2</v>
      </c>
      <c r="AI190" s="94">
        <f t="shared" si="16"/>
        <v>0.45121951219512196</v>
      </c>
    </row>
    <row r="191" spans="1:35">
      <c r="A191" s="4">
        <v>186</v>
      </c>
      <c r="B191" s="4" t="s">
        <v>1443</v>
      </c>
      <c r="C191" s="4">
        <v>83</v>
      </c>
      <c r="D191" s="4">
        <v>21</v>
      </c>
      <c r="E191" s="4">
        <v>21</v>
      </c>
      <c r="F191" s="4" t="s">
        <v>1518</v>
      </c>
      <c r="G191" s="4" t="s">
        <v>1524</v>
      </c>
      <c r="H191" s="4">
        <v>2.8</v>
      </c>
      <c r="I191" s="4">
        <v>24.2</v>
      </c>
      <c r="J191" s="4">
        <v>27</v>
      </c>
      <c r="K191" s="4">
        <v>33</v>
      </c>
      <c r="L191" s="4">
        <v>29</v>
      </c>
      <c r="M191" s="4">
        <v>137</v>
      </c>
      <c r="N191" s="4">
        <v>114</v>
      </c>
      <c r="O191" s="4">
        <v>7.9</v>
      </c>
      <c r="P191" s="4">
        <v>48400</v>
      </c>
      <c r="Q191" s="4">
        <v>1.07</v>
      </c>
      <c r="R191" s="4">
        <v>5.2</v>
      </c>
      <c r="S191" s="4">
        <v>41</v>
      </c>
      <c r="T191" s="4">
        <v>5.6</v>
      </c>
      <c r="U191" s="4">
        <v>411</v>
      </c>
      <c r="V191" s="4">
        <v>2.2999999999999998</v>
      </c>
      <c r="W191" s="4">
        <v>3.7</v>
      </c>
      <c r="X191" s="4">
        <v>1410</v>
      </c>
      <c r="Y191" s="4">
        <v>0.6</v>
      </c>
      <c r="AA191">
        <f t="shared" si="13"/>
        <v>7.182916495759188</v>
      </c>
      <c r="AB191">
        <f t="shared" si="12"/>
        <v>190.91179656316359</v>
      </c>
      <c r="AC191">
        <f t="shared" si="14"/>
        <v>0.46835443037974683</v>
      </c>
      <c r="AD191">
        <f t="shared" si="15"/>
        <v>1.7999999999998906E-2</v>
      </c>
      <c r="AI191" s="94">
        <f t="shared" si="16"/>
        <v>0.25301204819277107</v>
      </c>
    </row>
    <row r="192" spans="1:35">
      <c r="A192" s="4">
        <v>187</v>
      </c>
      <c r="B192" s="7"/>
      <c r="C192" s="4">
        <v>82</v>
      </c>
      <c r="D192" s="4">
        <v>28</v>
      </c>
      <c r="E192" s="4">
        <v>20</v>
      </c>
      <c r="F192" s="4" t="s">
        <v>1469</v>
      </c>
      <c r="G192" s="4" t="s">
        <v>1526</v>
      </c>
      <c r="H192" s="4">
        <v>3.2</v>
      </c>
      <c r="I192" s="4">
        <v>113.7</v>
      </c>
      <c r="J192" s="4">
        <v>116.9</v>
      </c>
      <c r="K192" s="4">
        <v>21</v>
      </c>
      <c r="L192" s="4">
        <v>21</v>
      </c>
      <c r="M192" s="4">
        <v>135</v>
      </c>
      <c r="N192" s="4">
        <v>107</v>
      </c>
      <c r="O192" s="4">
        <v>24.2</v>
      </c>
      <c r="P192" s="4">
        <v>51900</v>
      </c>
      <c r="Q192" s="4">
        <v>1.04</v>
      </c>
      <c r="R192" s="4">
        <v>5.4</v>
      </c>
      <c r="S192" s="4">
        <v>131</v>
      </c>
      <c r="T192" s="4">
        <v>17.3</v>
      </c>
      <c r="U192" s="4">
        <v>430</v>
      </c>
      <c r="V192" s="4">
        <v>7.4</v>
      </c>
      <c r="W192" s="4">
        <v>11.7</v>
      </c>
      <c r="X192" s="4">
        <v>1400</v>
      </c>
      <c r="Y192" s="4">
        <v>0.6</v>
      </c>
      <c r="AA192">
        <f t="shared" si="13"/>
        <v>16.744454517392267</v>
      </c>
      <c r="AB192">
        <f t="shared" si="12"/>
        <v>10.598576389327617</v>
      </c>
      <c r="AC192">
        <f t="shared" si="14"/>
        <v>0.48347107438016529</v>
      </c>
      <c r="AD192">
        <f t="shared" si="15"/>
        <v>1.9000000000001904E-2</v>
      </c>
      <c r="AI192" s="94">
        <f t="shared" si="16"/>
        <v>0.34146341463414637</v>
      </c>
    </row>
    <row r="193" spans="1:35">
      <c r="A193" s="4">
        <v>188</v>
      </c>
      <c r="B193" s="7"/>
      <c r="C193" s="4">
        <v>82</v>
      </c>
      <c r="D193" s="4">
        <v>37</v>
      </c>
      <c r="E193" s="4">
        <v>24</v>
      </c>
      <c r="F193" s="4" t="s">
        <v>1519</v>
      </c>
      <c r="G193" s="4" t="s">
        <v>1529</v>
      </c>
      <c r="H193" s="4">
        <v>3</v>
      </c>
      <c r="I193" s="4">
        <v>179.7</v>
      </c>
      <c r="J193" s="4">
        <v>182.7</v>
      </c>
      <c r="K193" s="4">
        <v>18</v>
      </c>
      <c r="L193" s="4">
        <v>18</v>
      </c>
      <c r="M193" s="4">
        <v>132</v>
      </c>
      <c r="N193" s="4">
        <v>108</v>
      </c>
      <c r="O193" s="4">
        <v>32.4</v>
      </c>
      <c r="P193" s="4">
        <v>37100</v>
      </c>
      <c r="Q193" s="4">
        <v>1.36</v>
      </c>
      <c r="R193" s="4">
        <v>5</v>
      </c>
      <c r="S193" s="4">
        <v>162</v>
      </c>
      <c r="T193" s="4">
        <v>19.7</v>
      </c>
      <c r="U193" s="4">
        <v>414</v>
      </c>
      <c r="V193" s="4">
        <v>8.1999999999999993</v>
      </c>
      <c r="W193" s="4">
        <v>15.6</v>
      </c>
      <c r="X193" s="4">
        <v>1640</v>
      </c>
      <c r="Y193" s="4">
        <v>0.5</v>
      </c>
      <c r="AA193">
        <f t="shared" si="13"/>
        <v>20.101316496682365</v>
      </c>
      <c r="AB193">
        <f t="shared" si="12"/>
        <v>15.199733059041066</v>
      </c>
      <c r="AC193">
        <f t="shared" si="14"/>
        <v>0.48148148148148151</v>
      </c>
      <c r="AD193">
        <f t="shared" si="15"/>
        <v>4.8000000000001819E-2</v>
      </c>
      <c r="AI193" s="94">
        <f t="shared" si="16"/>
        <v>0.45121951219512196</v>
      </c>
    </row>
    <row r="194" spans="1:35">
      <c r="A194" s="4">
        <v>189</v>
      </c>
      <c r="B194" s="7"/>
      <c r="C194" s="4">
        <v>82</v>
      </c>
      <c r="D194" s="4">
        <v>42</v>
      </c>
      <c r="E194" s="4">
        <v>22</v>
      </c>
      <c r="F194" s="4" t="s">
        <v>1519</v>
      </c>
      <c r="G194" s="4" t="s">
        <v>1524</v>
      </c>
      <c r="H194" s="4">
        <v>2.8</v>
      </c>
      <c r="I194" s="4">
        <v>291.89999999999998</v>
      </c>
      <c r="J194" s="4">
        <v>294.7</v>
      </c>
      <c r="K194" s="4">
        <v>16</v>
      </c>
      <c r="L194" s="4">
        <v>16</v>
      </c>
      <c r="M194" s="4">
        <v>130</v>
      </c>
      <c r="N194" s="4">
        <v>102</v>
      </c>
      <c r="O194" s="4">
        <v>47</v>
      </c>
      <c r="P194" s="4">
        <v>44300</v>
      </c>
      <c r="Q194" s="4">
        <v>1.2</v>
      </c>
      <c r="R194" s="4">
        <v>5.3</v>
      </c>
      <c r="S194" s="4">
        <v>249</v>
      </c>
      <c r="T194" s="4">
        <v>25.6</v>
      </c>
      <c r="U194" s="4">
        <v>409</v>
      </c>
      <c r="V194" s="4">
        <v>10.5</v>
      </c>
      <c r="W194" s="4">
        <v>23.3</v>
      </c>
      <c r="X194" s="4">
        <v>1840</v>
      </c>
      <c r="Y194" s="4">
        <v>0.5</v>
      </c>
      <c r="AA194">
        <f t="shared" si="13"/>
        <v>25.303562411348839</v>
      </c>
      <c r="AB194">
        <f t="shared" si="12"/>
        <v>10.913524605676955</v>
      </c>
      <c r="AC194">
        <f t="shared" si="14"/>
        <v>0.49574468085106382</v>
      </c>
      <c r="AD194">
        <f t="shared" si="15"/>
        <v>6.6000000000002501E-2</v>
      </c>
      <c r="AI194" s="94">
        <f t="shared" si="16"/>
        <v>0.51219512195121952</v>
      </c>
    </row>
    <row r="195" spans="1:35">
      <c r="A195" s="4">
        <v>190</v>
      </c>
      <c r="B195" s="6" t="s">
        <v>1444</v>
      </c>
      <c r="C195" s="4">
        <v>83</v>
      </c>
      <c r="D195" s="4">
        <v>28</v>
      </c>
      <c r="E195" s="4">
        <v>28</v>
      </c>
      <c r="F195" s="4" t="s">
        <v>1518</v>
      </c>
      <c r="G195" s="4" t="s">
        <v>1525</v>
      </c>
      <c r="H195" s="4">
        <v>6.4</v>
      </c>
      <c r="I195" s="4">
        <v>32.700000000000003</v>
      </c>
      <c r="J195" s="4">
        <v>39.1</v>
      </c>
      <c r="K195" s="4">
        <v>28</v>
      </c>
      <c r="L195" s="4">
        <v>24</v>
      </c>
      <c r="M195" s="4">
        <v>116</v>
      </c>
      <c r="N195" s="4">
        <v>121</v>
      </c>
      <c r="O195" s="4">
        <v>9.3000000000000007</v>
      </c>
      <c r="P195" s="4">
        <v>37000</v>
      </c>
      <c r="Q195" s="4">
        <v>1.43</v>
      </c>
      <c r="R195" s="4">
        <v>5.3</v>
      </c>
      <c r="S195" s="4">
        <v>49</v>
      </c>
      <c r="T195" s="4">
        <v>5.4</v>
      </c>
      <c r="U195" s="4">
        <v>519</v>
      </c>
      <c r="V195" s="4">
        <v>2.8</v>
      </c>
      <c r="W195" s="4">
        <v>4.2</v>
      </c>
      <c r="X195" s="4">
        <v>1720</v>
      </c>
      <c r="Y195" s="4">
        <v>0.7</v>
      </c>
      <c r="AA195">
        <f t="shared" si="13"/>
        <v>7.9406098787528387</v>
      </c>
      <c r="AB195">
        <f t="shared" si="12"/>
        <v>402.37913203638823</v>
      </c>
      <c r="AC195">
        <f t="shared" si="14"/>
        <v>0.45161290322580644</v>
      </c>
      <c r="AD195">
        <f t="shared" si="15"/>
        <v>-1.8000000000000682E-2</v>
      </c>
      <c r="AI195" s="94">
        <f t="shared" si="16"/>
        <v>0.33734939759036142</v>
      </c>
    </row>
    <row r="196" spans="1:35">
      <c r="A196" s="4">
        <v>191</v>
      </c>
      <c r="B196" s="4" t="s">
        <v>1445</v>
      </c>
      <c r="C196" s="4">
        <v>83</v>
      </c>
      <c r="D196" s="4">
        <v>36</v>
      </c>
      <c r="E196" s="4">
        <v>30</v>
      </c>
      <c r="F196" s="4" t="s">
        <v>1469</v>
      </c>
      <c r="G196" s="4" t="s">
        <v>1525</v>
      </c>
      <c r="H196" s="4">
        <v>3.5</v>
      </c>
      <c r="I196" s="4">
        <v>112.3</v>
      </c>
      <c r="J196" s="4">
        <v>115.8</v>
      </c>
      <c r="K196" s="4">
        <v>23</v>
      </c>
      <c r="L196" s="4">
        <v>22</v>
      </c>
      <c r="M196" s="4">
        <v>127</v>
      </c>
      <c r="N196" s="4">
        <v>126</v>
      </c>
      <c r="O196" s="4">
        <v>26</v>
      </c>
      <c r="P196" s="4">
        <v>31500</v>
      </c>
      <c r="Q196" s="4">
        <v>1.9</v>
      </c>
      <c r="R196" s="4">
        <v>6</v>
      </c>
      <c r="S196" s="4">
        <v>156</v>
      </c>
      <c r="T196" s="4">
        <v>16.899999999999999</v>
      </c>
      <c r="U196" s="4">
        <v>453</v>
      </c>
      <c r="V196" s="4">
        <v>7.7</v>
      </c>
      <c r="W196" s="4">
        <v>11.5</v>
      </c>
      <c r="X196" s="4">
        <v>1540</v>
      </c>
      <c r="Y196" s="4">
        <v>0.7</v>
      </c>
      <c r="AA196">
        <f t="shared" si="13"/>
        <v>16.554919251761188</v>
      </c>
      <c r="AB196">
        <f t="shared" si="12"/>
        <v>180.77019632666193</v>
      </c>
      <c r="AC196">
        <f t="shared" si="14"/>
        <v>0.44230769230769229</v>
      </c>
      <c r="AD196">
        <f t="shared" si="15"/>
        <v>-1.0000000000001563E-2</v>
      </c>
      <c r="AI196" s="94">
        <f t="shared" si="16"/>
        <v>0.43373493975903615</v>
      </c>
    </row>
    <row r="197" spans="1:35">
      <c r="A197" s="4">
        <v>192</v>
      </c>
      <c r="B197" s="7"/>
      <c r="C197" s="4">
        <v>83</v>
      </c>
      <c r="D197" s="4">
        <v>38</v>
      </c>
      <c r="E197" s="4">
        <v>30</v>
      </c>
      <c r="F197" s="4" t="s">
        <v>1469</v>
      </c>
      <c r="G197" s="4" t="s">
        <v>1526</v>
      </c>
      <c r="H197" s="4">
        <v>4.2</v>
      </c>
      <c r="I197" s="4">
        <v>108.6</v>
      </c>
      <c r="J197" s="4">
        <v>112.8</v>
      </c>
      <c r="K197" s="4">
        <v>22</v>
      </c>
      <c r="L197" s="4">
        <v>22</v>
      </c>
      <c r="M197" s="4">
        <v>124</v>
      </c>
      <c r="N197" s="4">
        <v>117</v>
      </c>
      <c r="O197" s="4">
        <v>24.3</v>
      </c>
      <c r="P197" s="4">
        <v>29300</v>
      </c>
      <c r="Q197" s="4">
        <v>1.97</v>
      </c>
      <c r="R197" s="4">
        <v>5.8</v>
      </c>
      <c r="S197" s="4">
        <v>141</v>
      </c>
      <c r="T197" s="4">
        <v>18</v>
      </c>
      <c r="U197" s="4">
        <v>440</v>
      </c>
      <c r="V197" s="4">
        <v>7.9</v>
      </c>
      <c r="W197" s="4">
        <v>11.3</v>
      </c>
      <c r="X197" s="4">
        <v>1350</v>
      </c>
      <c r="Y197" s="4">
        <v>0.7</v>
      </c>
      <c r="AA197">
        <f t="shared" si="13"/>
        <v>16.363473151807252</v>
      </c>
      <c r="AB197">
        <f t="shared" si="12"/>
        <v>185.95486448148165</v>
      </c>
      <c r="AC197">
        <f t="shared" si="14"/>
        <v>0.46502057613168724</v>
      </c>
      <c r="AD197">
        <f t="shared" si="15"/>
        <v>0.22100000000000009</v>
      </c>
      <c r="AI197" s="94">
        <f t="shared" si="16"/>
        <v>0.45783132530120479</v>
      </c>
    </row>
    <row r="198" spans="1:35">
      <c r="A198" s="4">
        <v>193</v>
      </c>
      <c r="B198" s="7"/>
      <c r="C198" s="4">
        <v>84</v>
      </c>
      <c r="D198" s="4">
        <v>43</v>
      </c>
      <c r="E198" s="4">
        <v>28</v>
      </c>
      <c r="F198" s="4" t="s">
        <v>1519</v>
      </c>
      <c r="G198" s="4" t="s">
        <v>1525</v>
      </c>
      <c r="H198" s="4">
        <v>3.1</v>
      </c>
      <c r="I198" s="4">
        <v>144</v>
      </c>
      <c r="J198" s="4">
        <v>147.1</v>
      </c>
      <c r="K198" s="4">
        <v>19</v>
      </c>
      <c r="L198" s="4">
        <v>18</v>
      </c>
      <c r="M198" s="4">
        <v>129</v>
      </c>
      <c r="N198" s="4">
        <v>124</v>
      </c>
      <c r="O198" s="4">
        <v>26.7</v>
      </c>
      <c r="P198" s="4">
        <v>38200</v>
      </c>
      <c r="Q198" s="4">
        <v>1.57</v>
      </c>
      <c r="R198" s="4">
        <v>6</v>
      </c>
      <c r="S198" s="4">
        <v>160</v>
      </c>
      <c r="T198" s="4">
        <v>26.1</v>
      </c>
      <c r="U198" s="4">
        <v>409</v>
      </c>
      <c r="V198" s="4">
        <v>10.7</v>
      </c>
      <c r="W198" s="4">
        <v>11.9</v>
      </c>
      <c r="X198" s="4">
        <v>1020</v>
      </c>
      <c r="Y198" s="4">
        <v>0.9</v>
      </c>
      <c r="AA198">
        <f t="shared" si="13"/>
        <v>16.932112689194781</v>
      </c>
      <c r="AB198">
        <f t="shared" ref="AB198:AB215" si="17">(E198-AA198)^2</f>
        <v>122.49812952468318</v>
      </c>
      <c r="AC198">
        <f t="shared" si="14"/>
        <v>0.44569288389513112</v>
      </c>
      <c r="AD198">
        <f t="shared" si="15"/>
        <v>-4.399999999999693E-2</v>
      </c>
      <c r="AI198" s="94">
        <f t="shared" si="16"/>
        <v>0.51190476190476186</v>
      </c>
    </row>
    <row r="199" spans="1:35">
      <c r="A199" s="4">
        <v>194</v>
      </c>
      <c r="B199" s="7"/>
      <c r="C199" s="4">
        <v>85</v>
      </c>
      <c r="D199" s="4">
        <v>53</v>
      </c>
      <c r="E199" s="4">
        <v>31</v>
      </c>
      <c r="F199" s="4" t="s">
        <v>1519</v>
      </c>
      <c r="G199" s="4" t="s">
        <v>1525</v>
      </c>
      <c r="H199" s="4">
        <v>3</v>
      </c>
      <c r="I199" s="4">
        <v>324.89999999999998</v>
      </c>
      <c r="J199" s="4">
        <v>327.9</v>
      </c>
      <c r="K199" s="4">
        <v>21</v>
      </c>
      <c r="L199" s="4">
        <v>20</v>
      </c>
      <c r="M199" s="4">
        <v>125</v>
      </c>
      <c r="N199" s="4">
        <v>122</v>
      </c>
      <c r="O199" s="4">
        <v>66.900000000000006</v>
      </c>
      <c r="P199" s="4">
        <v>36600</v>
      </c>
      <c r="Q199" s="4">
        <v>1.48</v>
      </c>
      <c r="R199" s="4">
        <v>5.4</v>
      </c>
      <c r="S199" s="4">
        <v>361</v>
      </c>
      <c r="T199" s="4">
        <v>42</v>
      </c>
      <c r="U199" s="4">
        <v>436</v>
      </c>
      <c r="V199" s="4">
        <v>18.3</v>
      </c>
      <c r="W199" s="4">
        <v>30.1</v>
      </c>
      <c r="X199" s="4">
        <v>1590</v>
      </c>
      <c r="Y199" s="4">
        <v>0.6</v>
      </c>
      <c r="AA199">
        <f t="shared" ref="AA199:AA215" si="18">$AB$3/($AB$4+W199^$AB$5)</f>
        <v>28.836019263797319</v>
      </c>
      <c r="AB199">
        <f t="shared" si="17"/>
        <v>4.6828126266562995</v>
      </c>
      <c r="AC199">
        <f t="shared" ref="AC199:AC215" si="19">W199/O199</f>
        <v>0.44992526158445439</v>
      </c>
      <c r="AD199">
        <f t="shared" ref="AD199:AD215" si="20">W199*(1+N199/100)-O199</f>
        <v>-7.8000000000002956E-2</v>
      </c>
      <c r="AI199" s="94">
        <f t="shared" ref="AI199:AI215" si="21">D199/C199</f>
        <v>0.62352941176470589</v>
      </c>
    </row>
    <row r="200" spans="1:35">
      <c r="A200" s="4">
        <v>195</v>
      </c>
      <c r="B200" s="4" t="s">
        <v>1446</v>
      </c>
      <c r="C200" s="4">
        <v>85</v>
      </c>
      <c r="D200" s="4">
        <v>35</v>
      </c>
      <c r="E200" s="4">
        <v>29</v>
      </c>
      <c r="F200" s="4" t="s">
        <v>1469</v>
      </c>
      <c r="G200" s="4" t="s">
        <v>1526</v>
      </c>
      <c r="H200" s="4">
        <v>5</v>
      </c>
      <c r="I200" s="4">
        <v>106.5</v>
      </c>
      <c r="J200" s="4">
        <v>111.5</v>
      </c>
      <c r="K200" s="4">
        <v>26</v>
      </c>
      <c r="L200" s="4">
        <v>24</v>
      </c>
      <c r="M200" s="4">
        <v>135</v>
      </c>
      <c r="N200" s="4">
        <v>150</v>
      </c>
      <c r="O200" s="4">
        <v>27.3</v>
      </c>
      <c r="P200" s="4">
        <v>48500</v>
      </c>
      <c r="Q200" s="4">
        <v>1.34</v>
      </c>
      <c r="R200" s="4">
        <v>6.5</v>
      </c>
      <c r="S200" s="4">
        <v>177</v>
      </c>
      <c r="T200" s="4">
        <v>23.2</v>
      </c>
      <c r="U200" s="4">
        <v>427</v>
      </c>
      <c r="V200" s="4">
        <v>9.9</v>
      </c>
      <c r="W200" s="4">
        <v>10.9</v>
      </c>
      <c r="X200" s="4">
        <v>1180</v>
      </c>
      <c r="Y200" s="4">
        <v>0.9</v>
      </c>
      <c r="AA200">
        <f t="shared" si="18"/>
        <v>15.974708506718638</v>
      </c>
      <c r="AB200">
        <f t="shared" si="17"/>
        <v>169.65821848494781</v>
      </c>
      <c r="AC200">
        <f t="shared" si="19"/>
        <v>0.39926739926739929</v>
      </c>
      <c r="AD200">
        <f t="shared" si="20"/>
        <v>-5.0000000000000711E-2</v>
      </c>
      <c r="AI200" s="94">
        <f t="shared" si="21"/>
        <v>0.41176470588235292</v>
      </c>
    </row>
    <row r="201" spans="1:35">
      <c r="A201" s="4">
        <v>196</v>
      </c>
      <c r="B201" s="7"/>
      <c r="C201" s="4">
        <v>85</v>
      </c>
      <c r="D201" s="4">
        <v>39</v>
      </c>
      <c r="E201" s="4">
        <v>30</v>
      </c>
      <c r="F201" s="4" t="s">
        <v>1519</v>
      </c>
      <c r="G201" s="4" t="s">
        <v>1525</v>
      </c>
      <c r="H201" s="4">
        <v>4.2</v>
      </c>
      <c r="I201" s="4">
        <v>179.4</v>
      </c>
      <c r="J201" s="4">
        <v>163.6</v>
      </c>
      <c r="K201" s="4">
        <v>21</v>
      </c>
      <c r="L201" s="4">
        <v>20</v>
      </c>
      <c r="M201" s="4">
        <v>137</v>
      </c>
      <c r="N201" s="4">
        <v>153</v>
      </c>
      <c r="O201" s="4">
        <v>37.5</v>
      </c>
      <c r="P201" s="4">
        <v>52600</v>
      </c>
      <c r="Q201" s="4">
        <v>1.32</v>
      </c>
      <c r="R201" s="4">
        <v>7</v>
      </c>
      <c r="S201" s="4">
        <v>262</v>
      </c>
      <c r="T201" s="4">
        <v>23.3</v>
      </c>
      <c r="U201" s="4">
        <v>458</v>
      </c>
      <c r="V201" s="4">
        <v>10.7</v>
      </c>
      <c r="W201" s="4">
        <v>14.8</v>
      </c>
      <c r="X201" s="4">
        <v>1610</v>
      </c>
      <c r="Y201" s="4">
        <v>0.7</v>
      </c>
      <c r="AA201">
        <f t="shared" si="18"/>
        <v>19.460770252792766</v>
      </c>
      <c r="AB201">
        <f t="shared" si="17"/>
        <v>111.07536366441785</v>
      </c>
      <c r="AC201">
        <f t="shared" si="19"/>
        <v>0.39466666666666667</v>
      </c>
      <c r="AD201">
        <f t="shared" si="20"/>
        <v>-5.5999999999997385E-2</v>
      </c>
      <c r="AI201" s="94">
        <f t="shared" si="21"/>
        <v>0.45882352941176469</v>
      </c>
    </row>
    <row r="202" spans="1:35">
      <c r="A202" s="4">
        <v>197</v>
      </c>
      <c r="B202" s="7"/>
      <c r="C202" s="4">
        <v>85</v>
      </c>
      <c r="D202" s="4">
        <v>49</v>
      </c>
      <c r="E202" s="4">
        <v>31</v>
      </c>
      <c r="F202" s="4" t="s">
        <v>1519</v>
      </c>
      <c r="G202" s="4" t="s">
        <v>1525</v>
      </c>
      <c r="H202" s="4">
        <v>5.2</v>
      </c>
      <c r="I202" s="4">
        <v>282.89999999999998</v>
      </c>
      <c r="J202" s="4">
        <v>288.10000000000002</v>
      </c>
      <c r="K202" s="4">
        <v>15</v>
      </c>
      <c r="L202" s="4">
        <v>15</v>
      </c>
      <c r="M202" s="4">
        <v>130</v>
      </c>
      <c r="N202" s="4">
        <v>155</v>
      </c>
      <c r="O202" s="4">
        <v>41.9</v>
      </c>
      <c r="P202" s="4">
        <v>25500</v>
      </c>
      <c r="Q202" s="4">
        <v>2.19</v>
      </c>
      <c r="R202" s="4">
        <v>5.6</v>
      </c>
      <c r="S202" s="4">
        <v>235</v>
      </c>
      <c r="T202" s="4">
        <v>30.2</v>
      </c>
      <c r="U202" s="4">
        <v>400</v>
      </c>
      <c r="V202" s="4">
        <v>12.1</v>
      </c>
      <c r="W202" s="4">
        <v>16.399999999999999</v>
      </c>
      <c r="X202" s="4">
        <v>1390</v>
      </c>
      <c r="Y202" s="4">
        <v>0.7</v>
      </c>
      <c r="AA202">
        <f t="shared" si="18"/>
        <v>20.719940651905169</v>
      </c>
      <c r="AB202">
        <f t="shared" si="17"/>
        <v>105.67962020035192</v>
      </c>
      <c r="AC202">
        <f t="shared" si="19"/>
        <v>0.39140811455847252</v>
      </c>
      <c r="AD202">
        <f t="shared" si="20"/>
        <v>-8.00000000000054E-2</v>
      </c>
      <c r="AI202" s="94">
        <f t="shared" si="21"/>
        <v>0.57647058823529407</v>
      </c>
    </row>
    <row r="203" spans="1:35">
      <c r="A203" s="4">
        <v>198</v>
      </c>
      <c r="B203" s="7"/>
      <c r="C203" s="4">
        <v>85</v>
      </c>
      <c r="D203" s="4">
        <v>52</v>
      </c>
      <c r="E203" s="4">
        <v>31</v>
      </c>
      <c r="F203" s="4" t="s">
        <v>1519</v>
      </c>
      <c r="G203" s="4" t="s">
        <v>1526</v>
      </c>
      <c r="H203" s="4">
        <v>5</v>
      </c>
      <c r="I203" s="4">
        <v>169.8</v>
      </c>
      <c r="J203" s="4">
        <v>174.8</v>
      </c>
      <c r="K203" s="4">
        <v>22</v>
      </c>
      <c r="L203" s="4">
        <v>21</v>
      </c>
      <c r="M203" s="4">
        <v>128</v>
      </c>
      <c r="N203" s="4">
        <v>157</v>
      </c>
      <c r="O203" s="4">
        <v>36.700000000000003</v>
      </c>
      <c r="P203" s="4">
        <v>47000</v>
      </c>
      <c r="Q203" s="4">
        <v>1.4</v>
      </c>
      <c r="R203" s="4">
        <v>6.6</v>
      </c>
      <c r="S203" s="4">
        <v>242</v>
      </c>
      <c r="T203" s="4">
        <v>36.299999999999997</v>
      </c>
      <c r="U203" s="4">
        <v>400</v>
      </c>
      <c r="V203" s="4">
        <v>14.5</v>
      </c>
      <c r="W203" s="4">
        <v>14.3</v>
      </c>
      <c r="X203" s="4">
        <v>1010</v>
      </c>
      <c r="Y203" s="4">
        <v>1</v>
      </c>
      <c r="AA203">
        <f t="shared" si="18"/>
        <v>19.048695651090451</v>
      </c>
      <c r="AB203">
        <f t="shared" si="17"/>
        <v>142.83367564026429</v>
      </c>
      <c r="AC203">
        <f t="shared" si="19"/>
        <v>0.38964577656675747</v>
      </c>
      <c r="AD203">
        <f t="shared" si="20"/>
        <v>5.1000000000001933E-2</v>
      </c>
      <c r="AI203" s="94">
        <f t="shared" si="21"/>
        <v>0.61176470588235299</v>
      </c>
    </row>
    <row r="204" spans="1:35">
      <c r="A204" s="4">
        <v>199</v>
      </c>
      <c r="B204" s="6" t="s">
        <v>1447</v>
      </c>
      <c r="C204" s="4">
        <v>86</v>
      </c>
      <c r="D204" s="4">
        <v>22</v>
      </c>
      <c r="E204" s="4">
        <v>27</v>
      </c>
      <c r="F204" s="4" t="s">
        <v>1518</v>
      </c>
      <c r="G204" s="4" t="s">
        <v>1525</v>
      </c>
      <c r="H204" s="4">
        <v>4.2</v>
      </c>
      <c r="I204" s="4">
        <v>23.9</v>
      </c>
      <c r="J204" s="4">
        <v>28.1</v>
      </c>
      <c r="K204" s="4">
        <v>28</v>
      </c>
      <c r="L204" s="4">
        <v>24</v>
      </c>
      <c r="M204" s="4">
        <v>121</v>
      </c>
      <c r="N204" s="4">
        <v>143</v>
      </c>
      <c r="O204" s="4">
        <v>6.8</v>
      </c>
      <c r="P204" s="4">
        <v>37600</v>
      </c>
      <c r="Q204" s="4">
        <v>1.56</v>
      </c>
      <c r="R204" s="4">
        <v>5.9</v>
      </c>
      <c r="S204" s="4">
        <v>40</v>
      </c>
      <c r="T204" s="4">
        <v>5.0999999999999996</v>
      </c>
      <c r="U204" s="4">
        <v>479</v>
      </c>
      <c r="V204" s="4">
        <v>2.4</v>
      </c>
      <c r="W204" s="4">
        <v>2.8</v>
      </c>
      <c r="X204" s="4">
        <v>1330</v>
      </c>
      <c r="Y204" s="4">
        <v>0.9</v>
      </c>
      <c r="AA204">
        <f t="shared" si="18"/>
        <v>5.7355929852500527</v>
      </c>
      <c r="AB204">
        <f t="shared" si="17"/>
        <v>452.17500568894684</v>
      </c>
      <c r="AC204">
        <f t="shared" si="19"/>
        <v>0.41176470588235292</v>
      </c>
      <c r="AD204">
        <f t="shared" si="20"/>
        <v>3.9999999999986713E-3</v>
      </c>
      <c r="AI204" s="94">
        <f t="shared" si="21"/>
        <v>0.2558139534883721</v>
      </c>
    </row>
    <row r="205" spans="1:35">
      <c r="A205" s="4">
        <v>200</v>
      </c>
      <c r="B205" s="4" t="s">
        <v>1448</v>
      </c>
      <c r="C205" s="4">
        <v>86</v>
      </c>
      <c r="D205" s="4">
        <v>33</v>
      </c>
      <c r="E205" s="4">
        <v>32</v>
      </c>
      <c r="F205" s="4" t="s">
        <v>1469</v>
      </c>
      <c r="G205" s="4" t="s">
        <v>1526</v>
      </c>
      <c r="H205" s="4">
        <v>5.7</v>
      </c>
      <c r="I205" s="4">
        <v>90.1</v>
      </c>
      <c r="J205" s="4">
        <v>101.8</v>
      </c>
      <c r="K205" s="4">
        <v>33</v>
      </c>
      <c r="L205" s="4">
        <v>31</v>
      </c>
      <c r="M205" s="4">
        <v>128</v>
      </c>
      <c r="N205" s="4">
        <v>141</v>
      </c>
      <c r="O205" s="4">
        <v>31.8</v>
      </c>
      <c r="P205" s="4">
        <v>38100</v>
      </c>
      <c r="Q205" s="4">
        <v>1.28</v>
      </c>
      <c r="R205" s="4">
        <v>4.9000000000000004</v>
      </c>
      <c r="S205" s="4">
        <v>156</v>
      </c>
      <c r="T205" s="4">
        <v>21</v>
      </c>
      <c r="U205" s="4">
        <v>499</v>
      </c>
      <c r="V205" s="4">
        <v>10.5</v>
      </c>
      <c r="W205" s="4">
        <v>13.2</v>
      </c>
      <c r="X205" s="4">
        <v>1510</v>
      </c>
      <c r="Y205" s="4">
        <v>0.8</v>
      </c>
      <c r="AA205">
        <f t="shared" si="18"/>
        <v>18.108318522078214</v>
      </c>
      <c r="AB205">
        <f t="shared" si="17"/>
        <v>192.97881428403522</v>
      </c>
      <c r="AC205">
        <f t="shared" si="19"/>
        <v>0.41509433962264147</v>
      </c>
      <c r="AD205">
        <f t="shared" si="20"/>
        <v>1.2000000000000455E-2</v>
      </c>
      <c r="AI205" s="94">
        <f t="shared" si="21"/>
        <v>0.38372093023255816</v>
      </c>
    </row>
    <row r="206" spans="1:35">
      <c r="A206" s="4">
        <v>201</v>
      </c>
      <c r="B206" s="7"/>
      <c r="C206" s="4">
        <v>86</v>
      </c>
      <c r="D206" s="4">
        <v>43</v>
      </c>
      <c r="E206" s="4">
        <v>33</v>
      </c>
      <c r="F206" s="4" t="s">
        <v>1519</v>
      </c>
      <c r="G206" s="4" t="s">
        <v>1527</v>
      </c>
      <c r="H206" s="4">
        <v>4.7</v>
      </c>
      <c r="I206" s="4">
        <v>182.9</v>
      </c>
      <c r="J206" s="4">
        <v>187.6</v>
      </c>
      <c r="K206" s="4">
        <v>21</v>
      </c>
      <c r="L206" s="4">
        <v>21</v>
      </c>
      <c r="M206" s="4">
        <v>124</v>
      </c>
      <c r="N206" s="4">
        <v>133</v>
      </c>
      <c r="O206" s="4">
        <v>38.9</v>
      </c>
      <c r="P206" s="4">
        <v>28800</v>
      </c>
      <c r="Q206" s="4">
        <v>1.56</v>
      </c>
      <c r="R206" s="4">
        <v>4.5</v>
      </c>
      <c r="S206" s="4">
        <v>175</v>
      </c>
      <c r="T206" s="4">
        <v>38.299999999999997</v>
      </c>
      <c r="U206" s="4">
        <v>423</v>
      </c>
      <c r="V206" s="4">
        <v>16.2</v>
      </c>
      <c r="W206" s="4">
        <v>16.7</v>
      </c>
      <c r="X206" s="4">
        <v>1020</v>
      </c>
      <c r="Y206" s="4">
        <v>1</v>
      </c>
      <c r="AA206">
        <f t="shared" si="18"/>
        <v>20.946530753057235</v>
      </c>
      <c r="AB206">
        <f t="shared" si="17"/>
        <v>145.28612088699498</v>
      </c>
      <c r="AC206">
        <f t="shared" si="19"/>
        <v>0.42930591259640105</v>
      </c>
      <c r="AD206">
        <f t="shared" si="20"/>
        <v>1.1000000000002785E-2</v>
      </c>
      <c r="AI206" s="94">
        <f t="shared" si="21"/>
        <v>0.5</v>
      </c>
    </row>
    <row r="207" spans="1:35">
      <c r="A207" s="4">
        <v>202</v>
      </c>
      <c r="B207" s="4" t="s">
        <v>1449</v>
      </c>
      <c r="C207" s="4">
        <v>91</v>
      </c>
      <c r="D207" s="4">
        <v>36</v>
      </c>
      <c r="E207" s="4">
        <v>31</v>
      </c>
      <c r="F207" s="4" t="s">
        <v>1519</v>
      </c>
      <c r="G207" s="4" t="s">
        <v>1525</v>
      </c>
      <c r="H207" s="4">
        <v>4</v>
      </c>
      <c r="I207" s="4">
        <v>122.9</v>
      </c>
      <c r="J207" s="4">
        <v>126.9</v>
      </c>
      <c r="K207" s="4">
        <v>18</v>
      </c>
      <c r="L207" s="4">
        <v>18</v>
      </c>
      <c r="M207" s="4">
        <v>150</v>
      </c>
      <c r="N207" s="4">
        <v>159</v>
      </c>
      <c r="O207" s="4">
        <v>22.5</v>
      </c>
      <c r="P207" s="4">
        <v>31200</v>
      </c>
      <c r="Q207" s="4">
        <v>1.67</v>
      </c>
      <c r="R207" s="4">
        <v>5.2</v>
      </c>
      <c r="S207" s="4">
        <v>117</v>
      </c>
      <c r="T207" s="4">
        <v>14.3</v>
      </c>
      <c r="U207" s="4">
        <v>423</v>
      </c>
      <c r="V207" s="4">
        <v>6.1</v>
      </c>
      <c r="W207" s="4">
        <v>8.6999999999999993</v>
      </c>
      <c r="X207" s="4">
        <v>1570</v>
      </c>
      <c r="Y207" s="4">
        <v>0.7</v>
      </c>
      <c r="AA207">
        <f t="shared" si="18"/>
        <v>13.683420283551536</v>
      </c>
      <c r="AB207">
        <f t="shared" si="17"/>
        <v>299.86393307611445</v>
      </c>
      <c r="AC207">
        <f t="shared" si="19"/>
        <v>0.38666666666666666</v>
      </c>
      <c r="AD207">
        <f t="shared" si="20"/>
        <v>3.2999999999997698E-2</v>
      </c>
      <c r="AI207" s="94">
        <f t="shared" si="21"/>
        <v>0.39560439560439559</v>
      </c>
    </row>
    <row r="208" spans="1:35">
      <c r="A208" s="4">
        <v>203</v>
      </c>
      <c r="B208" s="6" t="s">
        <v>1450</v>
      </c>
      <c r="C208" s="4">
        <v>101</v>
      </c>
      <c r="D208" s="4">
        <v>31</v>
      </c>
      <c r="E208" s="4">
        <v>32</v>
      </c>
      <c r="F208" s="4" t="s">
        <v>1469</v>
      </c>
      <c r="G208" s="4" t="s">
        <v>1529</v>
      </c>
      <c r="H208" s="4">
        <v>5.4</v>
      </c>
      <c r="I208" s="4">
        <v>52.4</v>
      </c>
      <c r="J208" s="4">
        <v>57.8</v>
      </c>
      <c r="K208" s="4">
        <v>26</v>
      </c>
      <c r="L208" s="4">
        <v>24</v>
      </c>
      <c r="M208" s="4">
        <v>131</v>
      </c>
      <c r="N208" s="4">
        <v>146</v>
      </c>
      <c r="O208" s="4">
        <v>13.8</v>
      </c>
      <c r="P208" s="4">
        <v>40400</v>
      </c>
      <c r="Q208" s="4">
        <v>1.5</v>
      </c>
      <c r="R208" s="4">
        <v>6.1</v>
      </c>
      <c r="S208" s="4">
        <v>84</v>
      </c>
      <c r="T208" s="4">
        <v>10.5</v>
      </c>
      <c r="U208" s="4">
        <v>432</v>
      </c>
      <c r="V208" s="4">
        <v>4.5</v>
      </c>
      <c r="W208" s="4">
        <v>5.6</v>
      </c>
      <c r="X208" s="4">
        <v>1310</v>
      </c>
      <c r="Y208" s="4">
        <v>0.8</v>
      </c>
      <c r="AA208">
        <f t="shared" si="18"/>
        <v>9.9149687931281836</v>
      </c>
      <c r="AB208">
        <f t="shared" si="17"/>
        <v>487.74860340850211</v>
      </c>
      <c r="AC208">
        <f t="shared" si="19"/>
        <v>0.40579710144927533</v>
      </c>
      <c r="AD208">
        <f t="shared" si="20"/>
        <v>-2.4000000000000909E-2</v>
      </c>
      <c r="AI208" s="94">
        <f t="shared" si="21"/>
        <v>0.30693069306930693</v>
      </c>
    </row>
    <row r="209" spans="1:35">
      <c r="A209" s="4">
        <v>204</v>
      </c>
      <c r="B209" s="4" t="s">
        <v>1451</v>
      </c>
      <c r="C209" s="4">
        <v>97</v>
      </c>
      <c r="D209" s="4">
        <v>36</v>
      </c>
      <c r="E209" s="4">
        <v>32</v>
      </c>
      <c r="F209" s="4" t="s">
        <v>1469</v>
      </c>
      <c r="G209" s="4" t="s">
        <v>1524</v>
      </c>
      <c r="H209" s="4">
        <v>4</v>
      </c>
      <c r="I209" s="4">
        <v>100.9</v>
      </c>
      <c r="J209" s="4">
        <v>104.9</v>
      </c>
      <c r="K209" s="4">
        <v>28</v>
      </c>
      <c r="L209" s="4">
        <v>27</v>
      </c>
      <c r="M209" s="4">
        <v>127</v>
      </c>
      <c r="N209" s="4">
        <v>141</v>
      </c>
      <c r="O209" s="4">
        <v>28.2</v>
      </c>
      <c r="P209" s="4">
        <v>29100</v>
      </c>
      <c r="Q209" s="4">
        <v>1.88</v>
      </c>
      <c r="R209" s="4">
        <v>5.5</v>
      </c>
      <c r="S209" s="4">
        <v>155</v>
      </c>
      <c r="T209" s="4">
        <v>19.899999999999999</v>
      </c>
      <c r="U209" s="4">
        <v>422</v>
      </c>
      <c r="V209" s="4">
        <v>8.4</v>
      </c>
      <c r="W209" s="4">
        <v>11.7</v>
      </c>
      <c r="X209" s="4">
        <v>1420</v>
      </c>
      <c r="Y209" s="4">
        <v>0.7</v>
      </c>
      <c r="AA209">
        <f t="shared" si="18"/>
        <v>16.744454517392267</v>
      </c>
      <c r="AB209">
        <f t="shared" si="17"/>
        <v>232.7316679719132</v>
      </c>
      <c r="AC209">
        <f t="shared" si="19"/>
        <v>0.41489361702127658</v>
      </c>
      <c r="AD209">
        <f t="shared" si="20"/>
        <v>-3.0000000000001137E-3</v>
      </c>
      <c r="AI209" s="94">
        <f t="shared" si="21"/>
        <v>0.37113402061855671</v>
      </c>
    </row>
    <row r="210" spans="1:35">
      <c r="A210" s="4">
        <v>205</v>
      </c>
      <c r="B210" s="7"/>
      <c r="C210" s="4">
        <v>97</v>
      </c>
      <c r="D210" s="4">
        <v>42</v>
      </c>
      <c r="E210" s="4">
        <v>30</v>
      </c>
      <c r="F210" s="4" t="s">
        <v>1519</v>
      </c>
      <c r="G210" s="4" t="s">
        <v>1525</v>
      </c>
      <c r="H210" s="4">
        <v>3.2</v>
      </c>
      <c r="I210" s="4">
        <v>171.8</v>
      </c>
      <c r="J210" s="4">
        <v>175</v>
      </c>
      <c r="K210" s="4">
        <v>22</v>
      </c>
      <c r="L210" s="4">
        <v>21</v>
      </c>
      <c r="M210" s="4">
        <v>121</v>
      </c>
      <c r="N210" s="4">
        <v>147</v>
      </c>
      <c r="O210" s="4">
        <v>37.5</v>
      </c>
      <c r="P210" s="4">
        <v>34600</v>
      </c>
      <c r="Q210" s="4">
        <v>1.67</v>
      </c>
      <c r="R210" s="4">
        <v>5.8</v>
      </c>
      <c r="S210" s="4">
        <v>217</v>
      </c>
      <c r="T210" s="4">
        <v>15.9</v>
      </c>
      <c r="U210" s="4">
        <v>422</v>
      </c>
      <c r="V210" s="4">
        <v>6.7</v>
      </c>
      <c r="W210" s="4">
        <v>15.2</v>
      </c>
      <c r="X210" s="4">
        <v>2360</v>
      </c>
      <c r="Y210" s="4">
        <v>0.4</v>
      </c>
      <c r="AA210">
        <f t="shared" si="18"/>
        <v>19.783865965586227</v>
      </c>
      <c r="AB210">
        <f t="shared" si="17"/>
        <v>104.36939460910745</v>
      </c>
      <c r="AC210">
        <f t="shared" si="19"/>
        <v>0.40533333333333332</v>
      </c>
      <c r="AD210">
        <f t="shared" si="20"/>
        <v>4.399999999999693E-2</v>
      </c>
      <c r="AI210" s="94">
        <f t="shared" si="21"/>
        <v>0.4329896907216495</v>
      </c>
    </row>
    <row r="211" spans="1:35">
      <c r="A211" s="4">
        <v>206</v>
      </c>
      <c r="B211" s="7"/>
      <c r="C211" s="4">
        <v>98</v>
      </c>
      <c r="D211" s="4">
        <v>50</v>
      </c>
      <c r="E211" s="4">
        <v>34</v>
      </c>
      <c r="F211" s="4" t="s">
        <v>1519</v>
      </c>
      <c r="G211" s="4" t="s">
        <v>1525</v>
      </c>
      <c r="H211" s="4">
        <v>3.8</v>
      </c>
      <c r="I211" s="4">
        <v>256.2</v>
      </c>
      <c r="J211" s="4">
        <v>260</v>
      </c>
      <c r="K211" s="4">
        <v>25</v>
      </c>
      <c r="L211" s="4">
        <v>25</v>
      </c>
      <c r="M211" s="4">
        <v>126</v>
      </c>
      <c r="N211" s="4">
        <v>147</v>
      </c>
      <c r="O211" s="4">
        <v>64.5</v>
      </c>
      <c r="P211" s="4">
        <v>25200</v>
      </c>
      <c r="Q211" s="4">
        <v>2.1800000000000002</v>
      </c>
      <c r="R211" s="4">
        <v>5.5</v>
      </c>
      <c r="S211" s="4">
        <v>355</v>
      </c>
      <c r="T211" s="4">
        <v>27.3</v>
      </c>
      <c r="U211" s="4">
        <v>428</v>
      </c>
      <c r="V211" s="4">
        <v>11.7</v>
      </c>
      <c r="W211" s="4">
        <v>26.1</v>
      </c>
      <c r="X211" s="4">
        <v>2360</v>
      </c>
      <c r="Y211" s="4">
        <v>0.4</v>
      </c>
      <c r="AA211">
        <f t="shared" si="18"/>
        <v>26.855349498749835</v>
      </c>
      <c r="AB211">
        <f t="shared" si="17"/>
        <v>51.046030785014239</v>
      </c>
      <c r="AC211">
        <f t="shared" si="19"/>
        <v>0.40465116279069768</v>
      </c>
      <c r="AD211">
        <f t="shared" si="20"/>
        <v>-3.3000000000001251E-2</v>
      </c>
      <c r="AI211" s="94">
        <f t="shared" si="21"/>
        <v>0.51020408163265307</v>
      </c>
    </row>
    <row r="212" spans="1:35">
      <c r="A212" s="4">
        <v>207</v>
      </c>
      <c r="B212" s="4" t="s">
        <v>1452</v>
      </c>
      <c r="C212" s="4">
        <v>113</v>
      </c>
      <c r="D212" s="4">
        <v>50</v>
      </c>
      <c r="E212" s="4">
        <v>25</v>
      </c>
      <c r="F212" s="4" t="s">
        <v>1519</v>
      </c>
      <c r="G212" s="4" t="s">
        <v>1529</v>
      </c>
      <c r="H212" s="4">
        <v>3.5</v>
      </c>
      <c r="I212" s="4">
        <v>263.8</v>
      </c>
      <c r="J212" s="4">
        <v>267.3</v>
      </c>
      <c r="K212" s="4">
        <v>14</v>
      </c>
      <c r="L212" s="4">
        <v>14</v>
      </c>
      <c r="M212" s="4">
        <v>120</v>
      </c>
      <c r="N212" s="4">
        <v>97</v>
      </c>
      <c r="O212" s="4">
        <v>37.700000000000003</v>
      </c>
      <c r="P212" s="4">
        <v>55700</v>
      </c>
      <c r="Q212" s="4">
        <v>0.92</v>
      </c>
      <c r="R212" s="4">
        <v>5.0999999999999996</v>
      </c>
      <c r="S212" s="4">
        <v>192</v>
      </c>
      <c r="T212" s="4">
        <v>21.1</v>
      </c>
      <c r="U212" s="4">
        <v>417</v>
      </c>
      <c r="V212" s="4">
        <v>8.8000000000000007</v>
      </c>
      <c r="W212" s="4">
        <v>19.100000000000001</v>
      </c>
      <c r="X212" s="4">
        <v>1790</v>
      </c>
      <c r="Y212" s="4">
        <v>0.5</v>
      </c>
      <c r="AA212">
        <f t="shared" si="18"/>
        <v>22.661644574405702</v>
      </c>
      <c r="AB212">
        <f t="shared" si="17"/>
        <v>5.4679060964062884</v>
      </c>
      <c r="AC212">
        <f t="shared" si="19"/>
        <v>0.50663129973474796</v>
      </c>
      <c r="AD212">
        <f t="shared" si="20"/>
        <v>-7.3000000000000398E-2</v>
      </c>
      <c r="AI212" s="94">
        <f t="shared" si="21"/>
        <v>0.44247787610619471</v>
      </c>
    </row>
    <row r="213" spans="1:35">
      <c r="A213" s="4">
        <v>208</v>
      </c>
      <c r="B213" s="6" t="s">
        <v>1453</v>
      </c>
      <c r="C213" s="4">
        <v>119</v>
      </c>
      <c r="D213" s="4">
        <v>29</v>
      </c>
      <c r="E213" s="4">
        <v>22</v>
      </c>
      <c r="F213" s="4" t="s">
        <v>1519</v>
      </c>
      <c r="G213" s="4" t="s">
        <v>1524</v>
      </c>
      <c r="H213" s="4">
        <v>3</v>
      </c>
      <c r="I213" s="4">
        <v>59</v>
      </c>
      <c r="J213" s="4">
        <v>62</v>
      </c>
      <c r="K213" s="4">
        <v>17</v>
      </c>
      <c r="L213" s="4">
        <v>17</v>
      </c>
      <c r="M213" s="8"/>
      <c r="N213" s="4">
        <v>124</v>
      </c>
      <c r="O213" s="4">
        <v>10.3</v>
      </c>
      <c r="P213" s="4">
        <v>42700</v>
      </c>
      <c r="Q213" s="4">
        <v>1.35</v>
      </c>
      <c r="R213" s="4">
        <v>5.8</v>
      </c>
      <c r="S213" s="4">
        <v>60</v>
      </c>
      <c r="T213" s="4">
        <v>9.8000000000000007</v>
      </c>
      <c r="U213" s="4">
        <v>422</v>
      </c>
      <c r="V213" s="4">
        <v>4.0999999999999996</v>
      </c>
      <c r="W213" s="4">
        <v>4.5999999999999996</v>
      </c>
      <c r="X213" s="4">
        <v>1050</v>
      </c>
      <c r="Y213" s="4">
        <v>0.9</v>
      </c>
      <c r="AA213">
        <f t="shared" si="18"/>
        <v>8.525683245392857</v>
      </c>
      <c r="AB213">
        <f t="shared" si="17"/>
        <v>181.55721200348677</v>
      </c>
      <c r="AC213">
        <f t="shared" si="19"/>
        <v>0.44660194174757273</v>
      </c>
      <c r="AD213">
        <f t="shared" si="20"/>
        <v>3.9999999999995595E-3</v>
      </c>
      <c r="AI213" s="94">
        <f t="shared" si="21"/>
        <v>0.24369747899159663</v>
      </c>
    </row>
    <row r="214" spans="1:35">
      <c r="A214" s="4">
        <v>209</v>
      </c>
      <c r="B214" s="7"/>
      <c r="C214" s="4">
        <v>119</v>
      </c>
      <c r="D214" s="4">
        <v>40</v>
      </c>
      <c r="E214" s="4">
        <v>31</v>
      </c>
      <c r="F214" s="4" t="s">
        <v>1519</v>
      </c>
      <c r="G214" s="4" t="s">
        <v>1525</v>
      </c>
      <c r="H214" s="4">
        <v>4</v>
      </c>
      <c r="I214" s="4">
        <v>151</v>
      </c>
      <c r="J214" s="4">
        <v>155</v>
      </c>
      <c r="K214" s="4">
        <v>25</v>
      </c>
      <c r="L214" s="4">
        <v>24</v>
      </c>
      <c r="M214" s="8"/>
      <c r="N214" s="4">
        <v>137</v>
      </c>
      <c r="O214" s="4">
        <v>37.5</v>
      </c>
      <c r="P214" s="4">
        <v>39000</v>
      </c>
      <c r="Q214" s="4">
        <v>1.49</v>
      </c>
      <c r="R214" s="4">
        <v>5.8</v>
      </c>
      <c r="S214" s="4">
        <v>217</v>
      </c>
      <c r="T214" s="4">
        <v>32</v>
      </c>
      <c r="U214" s="4">
        <v>406</v>
      </c>
      <c r="V214" s="4">
        <v>13</v>
      </c>
      <c r="W214" s="4">
        <v>15.8</v>
      </c>
      <c r="X214" s="4">
        <v>1170</v>
      </c>
      <c r="Y214" s="4">
        <v>0.8</v>
      </c>
      <c r="AA214">
        <f t="shared" si="18"/>
        <v>20.257977143695502</v>
      </c>
      <c r="AB214">
        <f t="shared" si="17"/>
        <v>115.39105504536825</v>
      </c>
      <c r="AC214">
        <f t="shared" si="19"/>
        <v>0.42133333333333334</v>
      </c>
      <c r="AD214">
        <f t="shared" si="20"/>
        <v>-5.3999999999994941E-2</v>
      </c>
      <c r="AI214" s="94">
        <f t="shared" si="21"/>
        <v>0.33613445378151263</v>
      </c>
    </row>
    <row r="215" spans="1:35">
      <c r="A215" s="4">
        <v>210</v>
      </c>
      <c r="B215" s="7"/>
      <c r="C215" s="4">
        <v>119</v>
      </c>
      <c r="D215" s="4">
        <v>41</v>
      </c>
      <c r="E215" s="4">
        <v>33</v>
      </c>
      <c r="F215" s="4" t="s">
        <v>1519</v>
      </c>
      <c r="G215" s="4" t="s">
        <v>1524</v>
      </c>
      <c r="H215" s="4">
        <v>5.4</v>
      </c>
      <c r="I215" s="4">
        <v>73.599999999999994</v>
      </c>
      <c r="J215" s="4">
        <v>79</v>
      </c>
      <c r="K215" s="4">
        <v>29</v>
      </c>
      <c r="L215" s="4">
        <v>27</v>
      </c>
      <c r="M215" s="8"/>
      <c r="N215" s="4">
        <v>132</v>
      </c>
      <c r="O215" s="4">
        <v>21.6</v>
      </c>
      <c r="P215" s="4">
        <v>36300</v>
      </c>
      <c r="Q215" s="4">
        <v>1.6</v>
      </c>
      <c r="R215" s="4">
        <v>5.8</v>
      </c>
      <c r="S215" s="4">
        <v>125</v>
      </c>
      <c r="T215" s="4">
        <v>16.8</v>
      </c>
      <c r="U215" s="4">
        <v>403</v>
      </c>
      <c r="V215" s="4">
        <v>6.8</v>
      </c>
      <c r="W215" s="4">
        <v>9.3000000000000007</v>
      </c>
      <c r="X215" s="4">
        <v>1290</v>
      </c>
      <c r="Y215" s="4">
        <v>0.7</v>
      </c>
      <c r="AA215">
        <f t="shared" si="18"/>
        <v>14.335725280347503</v>
      </c>
      <c r="AB215">
        <f t="shared" si="17"/>
        <v>348.35515081065927</v>
      </c>
      <c r="AC215">
        <f t="shared" si="19"/>
        <v>0.43055555555555558</v>
      </c>
      <c r="AD215">
        <f t="shared" si="20"/>
        <v>-2.3999999999997357E-2</v>
      </c>
      <c r="AI215" s="94">
        <f t="shared" si="21"/>
        <v>0.34453781512605042</v>
      </c>
    </row>
    <row r="217" spans="1:35">
      <c r="AB217">
        <f>SUM(AB6:AB215)</f>
        <v>16186.87679152167</v>
      </c>
      <c r="AC217">
        <f>AVERAGE(AC6:AC216)</f>
        <v>0.40112919658278562</v>
      </c>
    </row>
    <row r="218" spans="1:35">
      <c r="AC218">
        <f>STDEV(AC6:AC216)</f>
        <v>3.3016543801626559E-2</v>
      </c>
    </row>
  </sheetData>
  <mergeCells count="11">
    <mergeCell ref="F3:F5"/>
    <mergeCell ref="O3:S3"/>
    <mergeCell ref="Y3:Y4"/>
    <mergeCell ref="X3:X4"/>
    <mergeCell ref="B3:B5"/>
    <mergeCell ref="D3:D4"/>
    <mergeCell ref="Q4:S4"/>
    <mergeCell ref="G3:G5"/>
    <mergeCell ref="H3:J4"/>
    <mergeCell ref="K3:L4"/>
    <mergeCell ref="M3:N4"/>
  </mergeCells>
  <pageMargins left="0.78740157499999996" right="0.78740157499999996" top="0.984251969" bottom="0.984251969" header="0.4921259845" footer="0.492125984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opLeftCell="A4" workbookViewId="0">
      <selection activeCell="A6" sqref="A6:I12"/>
    </sheetView>
  </sheetViews>
  <sheetFormatPr baseColWidth="10" defaultColWidth="9.140625" defaultRowHeight="12.75"/>
  <cols>
    <col min="1" max="5" width="9.140625" customWidth="1"/>
    <col min="6" max="6" width="7.5703125" customWidth="1"/>
    <col min="7" max="7" width="9.140625" customWidth="1"/>
    <col min="8" max="8" width="9.7109375" customWidth="1"/>
  </cols>
  <sheetData>
    <row r="1" spans="1:9">
      <c r="A1" t="s">
        <v>1041</v>
      </c>
    </row>
    <row r="2" spans="1:9">
      <c r="A2" t="s">
        <v>1343</v>
      </c>
    </row>
    <row r="4" spans="1:9">
      <c r="A4" t="s">
        <v>1344</v>
      </c>
    </row>
    <row r="6" spans="1:9" s="277" customFormat="1" ht="51">
      <c r="A6" s="277" t="s">
        <v>1345</v>
      </c>
      <c r="B6" s="277" t="s">
        <v>1346</v>
      </c>
      <c r="C6" s="277" t="s">
        <v>1347</v>
      </c>
      <c r="D6" s="277" t="s">
        <v>768</v>
      </c>
      <c r="E6" s="277" t="s">
        <v>1348</v>
      </c>
      <c r="F6" s="277" t="s">
        <v>1349</v>
      </c>
      <c r="G6" s="277" t="s">
        <v>1350</v>
      </c>
      <c r="H6" s="277" t="s">
        <v>1351</v>
      </c>
      <c r="I6" s="277" t="s">
        <v>1352</v>
      </c>
    </row>
    <row r="7" spans="1:9">
      <c r="A7">
        <v>1</v>
      </c>
      <c r="B7">
        <v>29</v>
      </c>
      <c r="C7" t="s">
        <v>1353</v>
      </c>
      <c r="D7">
        <v>10.1</v>
      </c>
      <c r="E7">
        <v>10</v>
      </c>
      <c r="F7">
        <v>13.4</v>
      </c>
      <c r="G7">
        <v>7.9</v>
      </c>
      <c r="H7">
        <v>2.5</v>
      </c>
      <c r="I7">
        <v>2</v>
      </c>
    </row>
    <row r="8" spans="1:9">
      <c r="A8">
        <v>2</v>
      </c>
      <c r="B8">
        <v>29</v>
      </c>
      <c r="C8" t="s">
        <v>1353</v>
      </c>
      <c r="D8">
        <v>9.8000000000000007</v>
      </c>
      <c r="E8">
        <v>10.8</v>
      </c>
      <c r="F8">
        <v>12.9</v>
      </c>
      <c r="G8">
        <v>5.8</v>
      </c>
      <c r="H8">
        <v>1.7</v>
      </c>
      <c r="I8">
        <v>2</v>
      </c>
    </row>
    <row r="9" spans="1:9">
      <c r="A9">
        <v>3</v>
      </c>
      <c r="B9">
        <v>29</v>
      </c>
      <c r="C9" t="s">
        <v>1353</v>
      </c>
      <c r="D9">
        <v>11.6</v>
      </c>
      <c r="E9">
        <v>10.7</v>
      </c>
      <c r="F9">
        <v>12</v>
      </c>
      <c r="G9">
        <v>4.0999999999999996</v>
      </c>
      <c r="H9">
        <v>1.2</v>
      </c>
      <c r="I9">
        <v>2</v>
      </c>
    </row>
    <row r="10" spans="1:9">
      <c r="A10">
        <v>4</v>
      </c>
      <c r="B10">
        <v>29</v>
      </c>
      <c r="C10" t="s">
        <v>1353</v>
      </c>
      <c r="D10">
        <v>7.6</v>
      </c>
      <c r="E10">
        <v>7.3</v>
      </c>
      <c r="F10">
        <v>8.4</v>
      </c>
      <c r="G10">
        <v>4</v>
      </c>
      <c r="H10">
        <v>1.2</v>
      </c>
      <c r="I10">
        <v>2</v>
      </c>
    </row>
    <row r="11" spans="1:9">
      <c r="A11">
        <v>5</v>
      </c>
      <c r="B11">
        <v>29</v>
      </c>
      <c r="C11" t="s">
        <v>1353</v>
      </c>
      <c r="D11">
        <v>16.5</v>
      </c>
      <c r="E11">
        <v>10.1</v>
      </c>
      <c r="F11">
        <v>52.2</v>
      </c>
      <c r="G11">
        <v>18.899999999999999</v>
      </c>
      <c r="H11">
        <v>5.9</v>
      </c>
      <c r="I11">
        <v>2</v>
      </c>
    </row>
    <row r="12" spans="1:9">
      <c r="A12">
        <v>6</v>
      </c>
      <c r="B12">
        <v>29</v>
      </c>
      <c r="C12" t="s">
        <v>1354</v>
      </c>
      <c r="D12">
        <v>11.7</v>
      </c>
      <c r="E12">
        <v>11</v>
      </c>
      <c r="F12">
        <v>14.3</v>
      </c>
      <c r="G12">
        <v>5.5</v>
      </c>
      <c r="H12">
        <v>1.9</v>
      </c>
      <c r="I12">
        <v>2</v>
      </c>
    </row>
    <row r="14" spans="1:9">
      <c r="A14" t="s">
        <v>1355</v>
      </c>
    </row>
  </sheetData>
  <pageMargins left="0.78740157499999996" right="0.78740157499999996" top="0.984251969" bottom="0.984251969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G12"/>
  <sheetViews>
    <sheetView workbookViewId="0">
      <selection activeCell="U32" sqref="U32"/>
    </sheetView>
  </sheetViews>
  <sheetFormatPr baseColWidth="10" defaultRowHeight="12.75"/>
  <cols>
    <col min="1" max="16384" width="11.42578125" style="136"/>
  </cols>
  <sheetData>
    <row r="1" spans="1:7">
      <c r="A1" s="140" t="s">
        <v>243</v>
      </c>
    </row>
    <row r="2" spans="1:7">
      <c r="A2" s="140" t="s">
        <v>244</v>
      </c>
    </row>
    <row r="3" spans="1:7">
      <c r="A3" s="140" t="s">
        <v>245</v>
      </c>
    </row>
    <row r="4" spans="1:7">
      <c r="A4" s="140" t="s">
        <v>246</v>
      </c>
    </row>
    <row r="5" spans="1:7">
      <c r="A5" s="140" t="s">
        <v>247</v>
      </c>
    </row>
    <row r="6" spans="1:7">
      <c r="G6" s="141" t="s">
        <v>248</v>
      </c>
    </row>
    <row r="7" spans="1:7">
      <c r="A7" s="140" t="s">
        <v>250</v>
      </c>
    </row>
    <row r="8" spans="1:7">
      <c r="A8" s="140" t="s">
        <v>251</v>
      </c>
    </row>
    <row r="9" spans="1:7">
      <c r="A9" s="140" t="s">
        <v>252</v>
      </c>
    </row>
    <row r="11" spans="1:7">
      <c r="A11" s="140" t="s">
        <v>253</v>
      </c>
    </row>
    <row r="12" spans="1:7">
      <c r="A12" s="140" t="s">
        <v>254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workbookViewId="0">
      <selection activeCell="B28" sqref="B28:S28"/>
    </sheetView>
  </sheetViews>
  <sheetFormatPr baseColWidth="10" defaultColWidth="9.140625" defaultRowHeight="12.75"/>
  <cols>
    <col min="1" max="1" width="16.7109375" style="282" customWidth="1"/>
    <col min="2" max="3" width="9.140625" style="282" customWidth="1"/>
    <col min="4" max="6" width="9.140625" style="283" customWidth="1"/>
    <col min="7" max="16384" width="9.140625" style="282"/>
  </cols>
  <sheetData>
    <row r="1" spans="1:20">
      <c r="A1" s="282" t="s">
        <v>1748</v>
      </c>
    </row>
    <row r="7" spans="1:20">
      <c r="A7" s="282" t="s">
        <v>1749</v>
      </c>
      <c r="B7" s="282" t="s">
        <v>1750</v>
      </c>
      <c r="C7" s="282" t="s">
        <v>1751</v>
      </c>
      <c r="D7" s="282"/>
      <c r="E7" s="282"/>
      <c r="F7" s="282"/>
    </row>
    <row r="8" spans="1:20">
      <c r="A8" s="282" t="s">
        <v>1752</v>
      </c>
      <c r="B8" s="282">
        <v>1</v>
      </c>
      <c r="C8" s="282">
        <v>1</v>
      </c>
      <c r="D8" s="282">
        <v>2</v>
      </c>
      <c r="E8" s="282">
        <v>2</v>
      </c>
      <c r="F8" s="282">
        <v>3</v>
      </c>
      <c r="G8" s="282">
        <v>3</v>
      </c>
      <c r="H8" s="282">
        <v>4</v>
      </c>
      <c r="I8" s="282">
        <v>4</v>
      </c>
      <c r="J8" s="282">
        <v>5</v>
      </c>
      <c r="K8" s="282">
        <v>5</v>
      </c>
      <c r="L8" s="282">
        <v>6</v>
      </c>
      <c r="M8" s="282">
        <v>6</v>
      </c>
      <c r="N8" s="282">
        <v>7</v>
      </c>
      <c r="O8" s="282">
        <v>7</v>
      </c>
      <c r="P8" s="282">
        <v>8</v>
      </c>
      <c r="Q8" s="282">
        <v>8</v>
      </c>
      <c r="R8" s="282">
        <v>9</v>
      </c>
      <c r="S8" s="282">
        <v>9</v>
      </c>
      <c r="T8" s="282" t="s">
        <v>1751</v>
      </c>
    </row>
    <row r="9" spans="1:20">
      <c r="A9" s="282" t="s">
        <v>1753</v>
      </c>
      <c r="B9" s="282">
        <v>9</v>
      </c>
      <c r="C9" s="282">
        <v>10</v>
      </c>
      <c r="D9" s="282">
        <v>10</v>
      </c>
      <c r="E9" s="282">
        <v>14</v>
      </c>
      <c r="F9" s="282">
        <v>13</v>
      </c>
      <c r="G9" s="282">
        <v>14</v>
      </c>
      <c r="H9" s="282">
        <v>20</v>
      </c>
      <c r="I9" s="282">
        <v>23</v>
      </c>
      <c r="J9" s="282">
        <v>26</v>
      </c>
      <c r="K9" s="282">
        <v>26</v>
      </c>
      <c r="L9" s="282">
        <v>5</v>
      </c>
      <c r="M9" s="282">
        <v>6</v>
      </c>
      <c r="N9" s="282">
        <v>17</v>
      </c>
      <c r="O9" s="282">
        <v>18</v>
      </c>
      <c r="P9" s="282">
        <v>22</v>
      </c>
      <c r="Q9" s="282">
        <v>25</v>
      </c>
      <c r="R9" s="282">
        <v>32</v>
      </c>
      <c r="S9" s="282">
        <v>32</v>
      </c>
      <c r="T9" s="282" t="s">
        <v>1751</v>
      </c>
    </row>
    <row r="10" spans="1:20">
      <c r="A10" s="282" t="s">
        <v>1754</v>
      </c>
      <c r="B10" s="282">
        <v>12</v>
      </c>
      <c r="C10" s="282">
        <v>13</v>
      </c>
      <c r="D10" s="282">
        <v>16</v>
      </c>
      <c r="E10" s="282">
        <v>17</v>
      </c>
      <c r="F10" s="282">
        <v>18</v>
      </c>
      <c r="G10" s="282">
        <v>20</v>
      </c>
      <c r="H10" s="282">
        <v>26</v>
      </c>
      <c r="I10" s="282">
        <v>29</v>
      </c>
      <c r="J10" s="282">
        <v>41</v>
      </c>
      <c r="K10" s="282">
        <v>37</v>
      </c>
      <c r="L10" s="282">
        <v>9</v>
      </c>
      <c r="M10" s="282">
        <v>11</v>
      </c>
      <c r="N10" s="282">
        <v>24</v>
      </c>
      <c r="O10" s="282">
        <v>24</v>
      </c>
      <c r="P10" s="282">
        <v>33</v>
      </c>
      <c r="Q10" s="282">
        <v>32</v>
      </c>
      <c r="R10" s="282">
        <v>45</v>
      </c>
      <c r="S10" s="282">
        <v>45</v>
      </c>
      <c r="T10" s="282" t="s">
        <v>1751</v>
      </c>
    </row>
    <row r="11" spans="1:20">
      <c r="A11" s="282" t="s">
        <v>1755</v>
      </c>
      <c r="B11" s="282">
        <v>33</v>
      </c>
      <c r="C11" s="282">
        <v>39</v>
      </c>
      <c r="D11" s="282">
        <v>41</v>
      </c>
      <c r="E11" s="282">
        <v>41</v>
      </c>
      <c r="F11" s="282">
        <v>48</v>
      </c>
      <c r="G11" s="282">
        <v>57</v>
      </c>
      <c r="H11" s="282">
        <v>93</v>
      </c>
      <c r="I11" s="282">
        <v>88</v>
      </c>
      <c r="J11" s="282">
        <v>212</v>
      </c>
      <c r="K11" s="282">
        <v>203</v>
      </c>
      <c r="L11" s="282">
        <v>18</v>
      </c>
      <c r="M11" s="282">
        <v>19</v>
      </c>
      <c r="N11" s="282">
        <v>42</v>
      </c>
      <c r="O11" s="282">
        <v>44</v>
      </c>
      <c r="P11" s="282">
        <v>80</v>
      </c>
      <c r="Q11" s="282">
        <v>81</v>
      </c>
      <c r="R11" s="282">
        <v>149</v>
      </c>
      <c r="S11" s="282">
        <v>146</v>
      </c>
      <c r="T11" s="282" t="s">
        <v>1751</v>
      </c>
    </row>
    <row r="12" spans="1:20">
      <c r="A12" s="282" t="s">
        <v>1756</v>
      </c>
      <c r="B12" s="282">
        <v>30</v>
      </c>
      <c r="C12" s="282">
        <v>42.4</v>
      </c>
      <c r="D12" s="282">
        <v>53.1</v>
      </c>
      <c r="E12" s="282">
        <v>86.8</v>
      </c>
      <c r="F12" s="282">
        <v>95.7</v>
      </c>
      <c r="G12" s="282">
        <v>114</v>
      </c>
      <c r="H12" s="282">
        <v>225.2</v>
      </c>
      <c r="I12" s="282">
        <v>347.1</v>
      </c>
      <c r="J12" s="282">
        <v>780.9</v>
      </c>
      <c r="K12" s="282">
        <v>680.8</v>
      </c>
      <c r="L12" s="282">
        <v>15.2</v>
      </c>
      <c r="M12" s="282">
        <v>17.7</v>
      </c>
      <c r="N12" s="282">
        <v>191.9</v>
      </c>
      <c r="O12" s="282">
        <v>224.5</v>
      </c>
      <c r="P12" s="282">
        <v>382.3</v>
      </c>
      <c r="Q12" s="282">
        <v>377.6</v>
      </c>
      <c r="R12" s="282">
        <v>958.6</v>
      </c>
      <c r="S12" s="282">
        <v>1221.9000000000001</v>
      </c>
    </row>
    <row r="13" spans="1:20">
      <c r="A13" s="282" t="s">
        <v>1757</v>
      </c>
      <c r="B13" s="282">
        <v>0.4</v>
      </c>
      <c r="C13" s="282">
        <v>0.7</v>
      </c>
      <c r="D13" s="282">
        <v>2.2000000000000002</v>
      </c>
      <c r="E13" s="282">
        <v>5.8</v>
      </c>
      <c r="F13" s="282">
        <v>3.9</v>
      </c>
      <c r="G13" s="282">
        <v>4.2</v>
      </c>
      <c r="H13" s="282">
        <v>38.4</v>
      </c>
      <c r="I13" s="282">
        <v>88.6</v>
      </c>
      <c r="J13" s="282">
        <v>334</v>
      </c>
      <c r="K13" s="282">
        <v>244.1</v>
      </c>
      <c r="L13" s="282">
        <v>0.2</v>
      </c>
      <c r="M13" s="282">
        <v>0.2</v>
      </c>
      <c r="N13" s="282">
        <v>6.7</v>
      </c>
      <c r="O13" s="282">
        <v>23.4</v>
      </c>
      <c r="P13" s="282">
        <v>98.5</v>
      </c>
      <c r="Q13" s="282">
        <v>85</v>
      </c>
      <c r="R13" s="282">
        <v>345</v>
      </c>
      <c r="S13" s="282">
        <v>534.4</v>
      </c>
      <c r="T13" s="282" t="s">
        <v>1751</v>
      </c>
    </row>
    <row r="14" spans="1:20">
      <c r="A14" s="282" t="s">
        <v>1758</v>
      </c>
      <c r="B14" s="282">
        <v>15.1</v>
      </c>
      <c r="C14" s="282">
        <v>22.1</v>
      </c>
      <c r="D14" s="282">
        <v>31.7</v>
      </c>
      <c r="E14" s="282">
        <v>51.7</v>
      </c>
      <c r="F14" s="282">
        <v>53.4</v>
      </c>
      <c r="G14" s="282">
        <v>64.8</v>
      </c>
      <c r="H14" s="282">
        <v>129</v>
      </c>
      <c r="I14" s="282">
        <v>178.8</v>
      </c>
      <c r="J14" s="282">
        <v>278.10000000000002</v>
      </c>
      <c r="K14" s="282">
        <v>269.2</v>
      </c>
      <c r="L14" s="282">
        <v>4.7</v>
      </c>
      <c r="M14" s="282">
        <v>7.3</v>
      </c>
      <c r="N14" s="282">
        <v>110.5</v>
      </c>
      <c r="O14" s="282">
        <v>130.5</v>
      </c>
      <c r="P14" s="282">
        <v>180.9</v>
      </c>
      <c r="Q14" s="282">
        <v>222.8</v>
      </c>
      <c r="R14" s="282">
        <v>423.5</v>
      </c>
      <c r="S14" s="282">
        <v>457.9</v>
      </c>
      <c r="T14" s="282" t="s">
        <v>1751</v>
      </c>
    </row>
    <row r="15" spans="1:20">
      <c r="A15" s="282" t="s">
        <v>1759</v>
      </c>
      <c r="B15" s="282">
        <v>4.4000000000000004</v>
      </c>
      <c r="C15" s="282">
        <v>5.7</v>
      </c>
      <c r="D15" s="282">
        <v>5.8</v>
      </c>
      <c r="E15" s="282">
        <v>9.1</v>
      </c>
      <c r="F15" s="282">
        <v>15.9</v>
      </c>
      <c r="G15" s="282">
        <v>14.1</v>
      </c>
      <c r="H15" s="282">
        <v>31.3</v>
      </c>
      <c r="I15" s="282">
        <v>28.2</v>
      </c>
      <c r="J15" s="282">
        <v>71.599999999999994</v>
      </c>
      <c r="K15" s="282">
        <v>46.7</v>
      </c>
      <c r="L15" s="282">
        <v>1.8</v>
      </c>
      <c r="M15" s="282">
        <v>2.2000000000000002</v>
      </c>
      <c r="N15" s="282">
        <v>20.100000000000001</v>
      </c>
      <c r="O15" s="282">
        <v>21.9</v>
      </c>
      <c r="P15" s="282">
        <v>50.4</v>
      </c>
      <c r="Q15" s="282">
        <v>40.1</v>
      </c>
      <c r="R15" s="282">
        <v>98.9</v>
      </c>
      <c r="S15" s="282">
        <v>98.3</v>
      </c>
    </row>
    <row r="16" spans="1:20">
      <c r="A16" s="282" t="s">
        <v>1760</v>
      </c>
      <c r="B16" s="282">
        <v>0.3</v>
      </c>
      <c r="C16" s="282">
        <v>0.4</v>
      </c>
      <c r="D16" s="282">
        <v>0.4</v>
      </c>
      <c r="E16" s="282">
        <v>0.9</v>
      </c>
      <c r="F16" s="282">
        <v>0.8</v>
      </c>
      <c r="G16" s="282">
        <v>1</v>
      </c>
      <c r="H16" s="282">
        <v>0.9</v>
      </c>
      <c r="I16" s="282">
        <v>4.2</v>
      </c>
      <c r="J16" s="282">
        <v>49.4</v>
      </c>
      <c r="K16" s="282">
        <v>23.6</v>
      </c>
      <c r="L16" s="282">
        <v>0.2</v>
      </c>
      <c r="M16" s="282">
        <v>0.2</v>
      </c>
      <c r="N16" s="282">
        <v>2.1</v>
      </c>
      <c r="O16" s="282">
        <v>4.2</v>
      </c>
      <c r="P16" s="282">
        <v>6.5</v>
      </c>
      <c r="Q16" s="282">
        <v>3</v>
      </c>
      <c r="R16" s="282">
        <v>9.6999999999999993</v>
      </c>
      <c r="S16" s="282">
        <v>49.5</v>
      </c>
      <c r="T16" s="282" t="s">
        <v>1751</v>
      </c>
    </row>
    <row r="17" spans="1:22">
      <c r="A17" s="282" t="s">
        <v>1761</v>
      </c>
      <c r="B17" s="282">
        <v>6.4</v>
      </c>
      <c r="C17" s="282">
        <v>8.6</v>
      </c>
      <c r="D17" s="282">
        <v>6.2</v>
      </c>
      <c r="E17" s="282">
        <v>11.7</v>
      </c>
      <c r="F17" s="282">
        <v>14.8</v>
      </c>
      <c r="G17" s="282">
        <v>18.600000000000001</v>
      </c>
      <c r="H17" s="282">
        <v>17</v>
      </c>
      <c r="I17" s="282">
        <v>33.799999999999997</v>
      </c>
      <c r="J17" s="282">
        <v>28.5</v>
      </c>
      <c r="K17" s="282">
        <v>78.400000000000006</v>
      </c>
      <c r="L17" s="282">
        <v>4.0999999999999996</v>
      </c>
      <c r="M17" s="282">
        <v>4.0999999999999996</v>
      </c>
      <c r="N17" s="282">
        <v>41</v>
      </c>
      <c r="O17" s="282">
        <v>31.9</v>
      </c>
      <c r="P17" s="282">
        <v>34</v>
      </c>
      <c r="Q17" s="282">
        <v>19.8</v>
      </c>
      <c r="R17" s="282">
        <v>68.599999999999994</v>
      </c>
      <c r="S17" s="282">
        <v>65.8</v>
      </c>
      <c r="T17" s="282" t="s">
        <v>1751</v>
      </c>
    </row>
    <row r="18" spans="1:22">
      <c r="A18" s="282" t="s">
        <v>1762</v>
      </c>
      <c r="B18" s="282">
        <v>3.4</v>
      </c>
      <c r="C18" s="282">
        <v>4.8</v>
      </c>
      <c r="D18" s="282">
        <v>6.7</v>
      </c>
      <c r="E18" s="282">
        <v>7.7</v>
      </c>
      <c r="F18" s="282">
        <v>7</v>
      </c>
      <c r="G18" s="282">
        <v>11.3</v>
      </c>
      <c r="H18" s="282">
        <v>8.6</v>
      </c>
      <c r="I18" s="282">
        <v>13.5</v>
      </c>
      <c r="J18" s="282">
        <v>19.3</v>
      </c>
      <c r="K18" s="282">
        <v>18.7</v>
      </c>
      <c r="L18" s="282">
        <v>4.2</v>
      </c>
      <c r="M18" s="282">
        <v>3.8</v>
      </c>
      <c r="N18" s="282">
        <v>11.6</v>
      </c>
      <c r="O18" s="282">
        <v>12.7</v>
      </c>
      <c r="P18" s="282">
        <v>12.1</v>
      </c>
      <c r="Q18" s="282">
        <v>7</v>
      </c>
      <c r="R18" s="282">
        <v>12.9</v>
      </c>
      <c r="S18" s="282">
        <v>16</v>
      </c>
      <c r="T18" s="282" t="s">
        <v>1751</v>
      </c>
    </row>
    <row r="19" spans="1:22">
      <c r="A19" s="282" t="s">
        <v>1763</v>
      </c>
      <c r="B19" s="282">
        <v>5.9</v>
      </c>
      <c r="C19" s="282">
        <v>9.5</v>
      </c>
      <c r="D19" s="282">
        <v>12.6</v>
      </c>
      <c r="E19" s="282">
        <v>14</v>
      </c>
      <c r="F19" s="282">
        <v>14</v>
      </c>
      <c r="G19" s="282">
        <v>21.2</v>
      </c>
      <c r="H19" s="282">
        <v>79.400000000000006</v>
      </c>
      <c r="I19" s="282">
        <v>50.5</v>
      </c>
      <c r="J19" s="282">
        <v>170</v>
      </c>
      <c r="K19" s="282">
        <v>120.4</v>
      </c>
      <c r="L19" s="282">
        <v>5.5</v>
      </c>
      <c r="M19" s="282">
        <v>8.3000000000000007</v>
      </c>
      <c r="N19" s="282">
        <v>30.8</v>
      </c>
      <c r="O19" s="282">
        <v>43.6</v>
      </c>
      <c r="P19" s="282">
        <v>84.2</v>
      </c>
      <c r="Q19" s="282">
        <v>99</v>
      </c>
      <c r="R19" s="282">
        <v>178.1</v>
      </c>
      <c r="S19" s="282">
        <v>213.3</v>
      </c>
    </row>
    <row r="20" spans="1:22">
      <c r="A20" s="282" t="s">
        <v>1764</v>
      </c>
      <c r="B20" s="282">
        <v>2.1</v>
      </c>
      <c r="C20" s="282">
        <v>2.4</v>
      </c>
      <c r="D20" s="282">
        <v>4</v>
      </c>
      <c r="E20" s="282">
        <v>4.0999999999999996</v>
      </c>
      <c r="F20" s="282">
        <v>7.4</v>
      </c>
      <c r="G20" s="282">
        <v>4.5</v>
      </c>
      <c r="H20" s="282">
        <v>17.600000000000001</v>
      </c>
      <c r="I20" s="282">
        <v>23.7</v>
      </c>
      <c r="J20" s="282">
        <v>61.9</v>
      </c>
      <c r="K20" s="282">
        <v>38.4</v>
      </c>
      <c r="L20" s="282">
        <v>0.7</v>
      </c>
      <c r="M20" s="282">
        <v>1.2</v>
      </c>
      <c r="N20" s="282">
        <v>11.4</v>
      </c>
      <c r="O20" s="282">
        <v>9.3000000000000007</v>
      </c>
      <c r="P20" s="282">
        <v>27</v>
      </c>
      <c r="Q20" s="282">
        <v>23</v>
      </c>
      <c r="R20" s="282">
        <v>48.7</v>
      </c>
      <c r="S20" s="282">
        <v>57.1</v>
      </c>
      <c r="T20" s="282" t="s">
        <v>1751</v>
      </c>
    </row>
    <row r="21" spans="1:22">
      <c r="A21" s="282" t="s">
        <v>1765</v>
      </c>
      <c r="B21" s="282" t="s">
        <v>1766</v>
      </c>
      <c r="C21" s="282" t="s">
        <v>1766</v>
      </c>
      <c r="D21" s="282" t="s">
        <v>1766</v>
      </c>
      <c r="E21" s="282" t="s">
        <v>1766</v>
      </c>
      <c r="F21" s="282" t="s">
        <v>1767</v>
      </c>
      <c r="G21" s="282" t="s">
        <v>1767</v>
      </c>
      <c r="H21" s="282" t="s">
        <v>1768</v>
      </c>
      <c r="I21" s="282" t="s">
        <v>1768</v>
      </c>
      <c r="J21" s="282" t="s">
        <v>1767</v>
      </c>
      <c r="K21" s="282">
        <v>0.6</v>
      </c>
      <c r="M21" s="282" t="s">
        <v>1766</v>
      </c>
      <c r="N21" s="282" t="s">
        <v>1766</v>
      </c>
      <c r="O21" s="282" t="s">
        <v>1766</v>
      </c>
      <c r="P21" s="282" t="s">
        <v>1766</v>
      </c>
      <c r="Q21" s="282">
        <v>17.3</v>
      </c>
      <c r="R21" s="282" t="s">
        <v>1767</v>
      </c>
      <c r="S21" s="282">
        <v>0.6</v>
      </c>
      <c r="U21" s="282" t="s">
        <v>1751</v>
      </c>
    </row>
    <row r="22" spans="1:22">
      <c r="A22" s="282" t="s">
        <v>1769</v>
      </c>
      <c r="B22" s="282" t="s">
        <v>1768</v>
      </c>
      <c r="C22" s="282" t="s">
        <v>1768</v>
      </c>
      <c r="D22" s="282" t="s">
        <v>1767</v>
      </c>
      <c r="E22" s="282">
        <v>1.1000000000000001</v>
      </c>
      <c r="G22" s="282" t="s">
        <v>1768</v>
      </c>
      <c r="H22" s="282" t="s">
        <v>1768</v>
      </c>
      <c r="I22" s="282" t="s">
        <v>1768</v>
      </c>
      <c r="J22" s="282" t="s">
        <v>1767</v>
      </c>
      <c r="K22" s="282">
        <v>8.9</v>
      </c>
      <c r="M22" s="282" t="s">
        <v>1768</v>
      </c>
      <c r="N22" s="282" t="s">
        <v>1768</v>
      </c>
      <c r="O22" s="282">
        <v>2.4</v>
      </c>
      <c r="P22" s="282">
        <v>9.6999999999999993</v>
      </c>
      <c r="R22" s="282">
        <v>9.1</v>
      </c>
      <c r="S22" s="282">
        <v>9.6</v>
      </c>
      <c r="V22" s="282" t="s">
        <v>1751</v>
      </c>
    </row>
    <row r="23" spans="1:22">
      <c r="A23" s="282" t="s">
        <v>1770</v>
      </c>
      <c r="B23" s="282">
        <v>2.5</v>
      </c>
      <c r="C23" s="282">
        <v>5.7</v>
      </c>
      <c r="D23" s="282">
        <v>6.7</v>
      </c>
      <c r="E23" s="282">
        <v>6.5</v>
      </c>
      <c r="F23" s="282">
        <v>5.5</v>
      </c>
      <c r="G23" s="282">
        <v>15.3</v>
      </c>
      <c r="H23" s="282">
        <v>59.2</v>
      </c>
      <c r="I23" s="282">
        <v>23.5</v>
      </c>
      <c r="J23" s="282">
        <v>96.3</v>
      </c>
      <c r="K23" s="282">
        <v>63</v>
      </c>
      <c r="L23" s="282">
        <v>4.0999999999999996</v>
      </c>
      <c r="M23" s="282">
        <v>6.1</v>
      </c>
      <c r="N23" s="282">
        <v>17</v>
      </c>
      <c r="O23" s="282">
        <v>29.8</v>
      </c>
      <c r="P23" s="282">
        <v>43.6</v>
      </c>
      <c r="Q23" s="282">
        <v>55</v>
      </c>
      <c r="R23" s="282">
        <v>113.5</v>
      </c>
      <c r="S23" s="282">
        <v>139.1</v>
      </c>
    </row>
    <row r="24" spans="1:22">
      <c r="A24" s="282" t="s">
        <v>1771</v>
      </c>
      <c r="B24" s="282">
        <v>0.3</v>
      </c>
      <c r="C24" s="282">
        <v>0.3</v>
      </c>
      <c r="D24" s="282">
        <v>0.3</v>
      </c>
      <c r="E24" s="282">
        <v>0.3</v>
      </c>
      <c r="F24" s="282">
        <v>0.1</v>
      </c>
      <c r="G24" s="282">
        <v>0.1</v>
      </c>
      <c r="H24" s="282">
        <v>0.5</v>
      </c>
      <c r="I24" s="282">
        <v>0.6</v>
      </c>
      <c r="J24" s="282">
        <v>3.1</v>
      </c>
      <c r="K24" s="282">
        <v>2.5</v>
      </c>
      <c r="L24" s="282">
        <v>0.2</v>
      </c>
      <c r="M24" s="282">
        <v>0.2</v>
      </c>
      <c r="N24" s="282">
        <v>1</v>
      </c>
      <c r="O24" s="282">
        <v>0.9</v>
      </c>
      <c r="P24" s="282">
        <v>1.5</v>
      </c>
      <c r="Q24" s="282">
        <v>1.4</v>
      </c>
      <c r="R24" s="282">
        <v>1.6</v>
      </c>
      <c r="S24" s="282">
        <v>1.6</v>
      </c>
      <c r="T24" s="282" t="s">
        <v>1751</v>
      </c>
    </row>
    <row r="25" spans="1:22">
      <c r="A25" s="282" t="s">
        <v>1772</v>
      </c>
      <c r="B25" s="282">
        <v>0.1</v>
      </c>
      <c r="C25" s="282">
        <v>1.1000000000000001</v>
      </c>
      <c r="D25" s="282">
        <v>1.6</v>
      </c>
      <c r="E25" s="282">
        <v>2</v>
      </c>
      <c r="F25" s="282">
        <v>1</v>
      </c>
      <c r="G25" s="282">
        <v>1.3</v>
      </c>
      <c r="H25" s="282">
        <v>2.1</v>
      </c>
      <c r="I25" s="282">
        <v>2.7</v>
      </c>
      <c r="J25" s="282">
        <v>8.6999999999999993</v>
      </c>
      <c r="K25" s="282">
        <v>7</v>
      </c>
      <c r="L25" s="282">
        <v>0.5</v>
      </c>
      <c r="M25" s="282">
        <v>0.8</v>
      </c>
      <c r="N25" s="282">
        <v>1.4</v>
      </c>
      <c r="O25" s="282">
        <v>1.2</v>
      </c>
      <c r="P25" s="282">
        <v>2.4</v>
      </c>
      <c r="Q25" s="282">
        <v>2.2999999999999998</v>
      </c>
      <c r="R25" s="282">
        <v>5.2</v>
      </c>
      <c r="S25" s="282">
        <v>5.3</v>
      </c>
      <c r="T25" s="282" t="s">
        <v>1751</v>
      </c>
    </row>
    <row r="26" spans="1:22">
      <c r="A26" s="282" t="s">
        <v>1773</v>
      </c>
      <c r="B26" s="282">
        <v>35.9</v>
      </c>
      <c r="C26" s="282">
        <v>51.9</v>
      </c>
      <c r="D26" s="282">
        <v>65.7</v>
      </c>
      <c r="E26" s="282">
        <v>100.8</v>
      </c>
      <c r="F26" s="282">
        <v>109.7</v>
      </c>
      <c r="G26" s="282">
        <v>135.19999999999999</v>
      </c>
      <c r="H26" s="282">
        <v>304.60000000000002</v>
      </c>
      <c r="I26" s="282">
        <v>397.6</v>
      </c>
      <c r="J26" s="282">
        <v>950.9</v>
      </c>
      <c r="K26" s="282">
        <v>801.2</v>
      </c>
      <c r="L26" s="282">
        <v>20.7</v>
      </c>
      <c r="M26" s="282">
        <v>26</v>
      </c>
      <c r="N26" s="282">
        <v>222.7</v>
      </c>
      <c r="O26" s="282">
        <v>268.10000000000002</v>
      </c>
      <c r="P26" s="282">
        <v>466.5</v>
      </c>
      <c r="Q26" s="282">
        <v>476.6</v>
      </c>
      <c r="R26" s="282">
        <v>1136.7</v>
      </c>
      <c r="S26" s="282">
        <v>1435.2</v>
      </c>
    </row>
    <row r="27" spans="1:22">
      <c r="O27" s="284"/>
    </row>
    <row r="28" spans="1:22">
      <c r="A28" s="282" t="s">
        <v>1774</v>
      </c>
      <c r="B28" s="283">
        <f>B17</f>
        <v>6.4</v>
      </c>
      <c r="C28" s="283">
        <f t="shared" ref="C28:S28" si="0">C17</f>
        <v>8.6</v>
      </c>
      <c r="D28" s="283">
        <f t="shared" si="0"/>
        <v>6.2</v>
      </c>
      <c r="E28" s="283">
        <f t="shared" si="0"/>
        <v>11.7</v>
      </c>
      <c r="F28" s="283">
        <f t="shared" si="0"/>
        <v>14.8</v>
      </c>
      <c r="G28" s="283">
        <f t="shared" si="0"/>
        <v>18.600000000000001</v>
      </c>
      <c r="H28" s="283">
        <f t="shared" si="0"/>
        <v>17</v>
      </c>
      <c r="I28" s="283">
        <f t="shared" si="0"/>
        <v>33.799999999999997</v>
      </c>
      <c r="J28" s="283">
        <f t="shared" si="0"/>
        <v>28.5</v>
      </c>
      <c r="K28" s="283">
        <f t="shared" si="0"/>
        <v>78.400000000000006</v>
      </c>
      <c r="L28" s="283">
        <f t="shared" si="0"/>
        <v>4.0999999999999996</v>
      </c>
      <c r="M28" s="283">
        <f t="shared" si="0"/>
        <v>4.0999999999999996</v>
      </c>
      <c r="N28" s="283">
        <f t="shared" si="0"/>
        <v>41</v>
      </c>
      <c r="O28" s="283">
        <f t="shared" si="0"/>
        <v>31.9</v>
      </c>
      <c r="P28" s="283">
        <f t="shared" si="0"/>
        <v>34</v>
      </c>
      <c r="Q28" s="283">
        <f t="shared" si="0"/>
        <v>19.8</v>
      </c>
      <c r="R28" s="283">
        <f t="shared" si="0"/>
        <v>68.599999999999994</v>
      </c>
      <c r="S28" s="283">
        <f t="shared" si="0"/>
        <v>65.8</v>
      </c>
    </row>
    <row r="29" spans="1:22">
      <c r="A29" s="282" t="s">
        <v>1775</v>
      </c>
      <c r="B29" s="283">
        <f>B23+B24</f>
        <v>2.8</v>
      </c>
      <c r="C29" s="283">
        <f t="shared" ref="C29:S29" si="1">C23+C24</f>
        <v>6</v>
      </c>
      <c r="D29" s="283">
        <f t="shared" si="1"/>
        <v>7</v>
      </c>
      <c r="E29" s="283">
        <f t="shared" si="1"/>
        <v>6.8</v>
      </c>
      <c r="F29" s="283">
        <f t="shared" si="1"/>
        <v>5.6</v>
      </c>
      <c r="G29" s="283">
        <f t="shared" si="1"/>
        <v>15.4</v>
      </c>
      <c r="H29" s="283">
        <f t="shared" si="1"/>
        <v>59.7</v>
      </c>
      <c r="I29" s="283">
        <f t="shared" si="1"/>
        <v>24.1</v>
      </c>
      <c r="J29" s="283">
        <f t="shared" si="1"/>
        <v>99.399999999999991</v>
      </c>
      <c r="K29" s="283">
        <f t="shared" si="1"/>
        <v>65.5</v>
      </c>
      <c r="L29" s="283">
        <f t="shared" si="1"/>
        <v>4.3</v>
      </c>
      <c r="M29" s="283">
        <f t="shared" si="1"/>
        <v>6.3</v>
      </c>
      <c r="N29" s="283">
        <f t="shared" si="1"/>
        <v>18</v>
      </c>
      <c r="O29" s="283">
        <f t="shared" si="1"/>
        <v>30.7</v>
      </c>
      <c r="P29" s="283">
        <f t="shared" si="1"/>
        <v>45.1</v>
      </c>
      <c r="Q29" s="283">
        <f t="shared" si="1"/>
        <v>56.4</v>
      </c>
      <c r="R29" s="283">
        <f t="shared" si="1"/>
        <v>115.1</v>
      </c>
      <c r="S29" s="283">
        <f t="shared" si="1"/>
        <v>140.69999999999999</v>
      </c>
    </row>
    <row r="30" spans="1:22" s="285" customFormat="1">
      <c r="A30" s="285" t="s">
        <v>1776</v>
      </c>
      <c r="B30" s="286">
        <f>(B28+B29)/B14</f>
        <v>0.60927152317880795</v>
      </c>
      <c r="C30" s="286">
        <f t="shared" ref="C30:S30" si="2">(C28+C29)/C14</f>
        <v>0.66063348416289591</v>
      </c>
      <c r="D30" s="286">
        <f t="shared" si="2"/>
        <v>0.41640378548895896</v>
      </c>
      <c r="E30" s="286">
        <f t="shared" si="2"/>
        <v>0.35783365570599612</v>
      </c>
      <c r="F30" s="286">
        <f t="shared" si="2"/>
        <v>0.38202247191011235</v>
      </c>
      <c r="G30" s="286">
        <f t="shared" si="2"/>
        <v>0.52469135802469136</v>
      </c>
      <c r="H30" s="286">
        <f t="shared" si="2"/>
        <v>0.59457364341085273</v>
      </c>
      <c r="I30" s="286">
        <f t="shared" si="2"/>
        <v>0.32382550335570465</v>
      </c>
      <c r="J30" s="286">
        <f t="shared" si="2"/>
        <v>0.4599065084501977</v>
      </c>
      <c r="K30" s="286">
        <f t="shared" si="2"/>
        <v>0.53454680534918275</v>
      </c>
      <c r="L30" s="286">
        <f t="shared" si="2"/>
        <v>1.7872340425531912</v>
      </c>
      <c r="M30" s="286">
        <f t="shared" si="2"/>
        <v>1.4246575342465753</v>
      </c>
      <c r="N30" s="286">
        <f t="shared" si="2"/>
        <v>0.5339366515837104</v>
      </c>
      <c r="O30" s="286">
        <f t="shared" si="2"/>
        <v>0.4796934865900383</v>
      </c>
      <c r="P30" s="286">
        <f t="shared" si="2"/>
        <v>0.43725815367606408</v>
      </c>
      <c r="Q30" s="286">
        <f t="shared" si="2"/>
        <v>0.34201077199281865</v>
      </c>
      <c r="R30" s="286">
        <f t="shared" si="2"/>
        <v>0.43376623376623374</v>
      </c>
      <c r="S30" s="286">
        <f t="shared" si="2"/>
        <v>0.45097182791002405</v>
      </c>
      <c r="T30" s="286">
        <f>AVERAGE(B30:S30)</f>
        <v>0.59740208007533635</v>
      </c>
    </row>
    <row r="31" spans="1:22" s="285" customFormat="1">
      <c r="A31" s="285" t="s">
        <v>1777</v>
      </c>
      <c r="B31" s="286">
        <f>B29/(B28+B29)</f>
        <v>0.30434782608695654</v>
      </c>
      <c r="C31" s="286">
        <f t="shared" ref="C31:S31" si="3">C29/(C28+C29)</f>
        <v>0.41095890410958907</v>
      </c>
      <c r="D31" s="286">
        <f t="shared" si="3"/>
        <v>0.53030303030303028</v>
      </c>
      <c r="E31" s="286">
        <f t="shared" si="3"/>
        <v>0.36756756756756753</v>
      </c>
      <c r="F31" s="286">
        <f t="shared" si="3"/>
        <v>0.27450980392156865</v>
      </c>
      <c r="G31" s="286">
        <f t="shared" si="3"/>
        <v>0.45294117647058824</v>
      </c>
      <c r="H31" s="286">
        <f t="shared" si="3"/>
        <v>0.77835723598435469</v>
      </c>
      <c r="I31" s="286">
        <f t="shared" si="3"/>
        <v>0.41623488773747847</v>
      </c>
      <c r="J31" s="286">
        <f t="shared" si="3"/>
        <v>0.77716966379984365</v>
      </c>
      <c r="K31" s="286">
        <f t="shared" si="3"/>
        <v>0.4551772063933287</v>
      </c>
      <c r="L31" s="286">
        <f t="shared" si="3"/>
        <v>0.51190476190476197</v>
      </c>
      <c r="M31" s="286">
        <f t="shared" si="3"/>
        <v>0.60576923076923084</v>
      </c>
      <c r="N31" s="286">
        <f t="shared" si="3"/>
        <v>0.30508474576271188</v>
      </c>
      <c r="O31" s="286">
        <f t="shared" si="3"/>
        <v>0.49041533546325883</v>
      </c>
      <c r="P31" s="286">
        <f t="shared" si="3"/>
        <v>0.5701643489254109</v>
      </c>
      <c r="Q31" s="286">
        <f t="shared" si="3"/>
        <v>0.74015748031496054</v>
      </c>
      <c r="R31" s="286">
        <f t="shared" si="3"/>
        <v>0.6265650517147523</v>
      </c>
      <c r="S31" s="286">
        <f t="shared" si="3"/>
        <v>0.68135593220338975</v>
      </c>
      <c r="T31" s="286">
        <f>AVERAGE(B31:S31)</f>
        <v>0.51661023274626561</v>
      </c>
    </row>
  </sheetData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28"/>
  <sheetViews>
    <sheetView workbookViewId="0">
      <selection activeCell="H29" sqref="H29"/>
    </sheetView>
  </sheetViews>
  <sheetFormatPr baseColWidth="10" defaultRowHeight="12.75"/>
  <sheetData>
    <row r="1" spans="1:8">
      <c r="A1" t="s">
        <v>1577</v>
      </c>
      <c r="F1" t="s">
        <v>1581</v>
      </c>
    </row>
    <row r="2" spans="1:8">
      <c r="A2" t="s">
        <v>1578</v>
      </c>
      <c r="B2" t="s">
        <v>1518</v>
      </c>
      <c r="C2" t="s">
        <v>1579</v>
      </c>
      <c r="F2" t="s">
        <v>1582</v>
      </c>
      <c r="G2" t="s">
        <v>1583</v>
      </c>
    </row>
    <row r="3" spans="1:8">
      <c r="A3">
        <v>1.15781</v>
      </c>
      <c r="B3">
        <v>0.34844999999999998</v>
      </c>
      <c r="C3">
        <v>-1.3339999999999999E-2</v>
      </c>
      <c r="F3">
        <v>1.0157</v>
      </c>
      <c r="G3">
        <v>0.17069999999999999</v>
      </c>
    </row>
    <row r="4" spans="1:8">
      <c r="A4" t="s">
        <v>1519</v>
      </c>
      <c r="B4" t="s">
        <v>1580</v>
      </c>
    </row>
    <row r="5" spans="1:8">
      <c r="A5">
        <v>1</v>
      </c>
      <c r="B5" s="96">
        <f>EXP($A$3+$B$3*LN(A5)+$C$3*LN(A5)*LN(A5))</f>
        <v>3.1829549662798167</v>
      </c>
      <c r="F5">
        <f>B5*(1-EXP(-1*($F$3+$G$3*B5/A5)^2))</f>
        <v>2.9028990032613198</v>
      </c>
      <c r="G5">
        <v>50</v>
      </c>
      <c r="H5">
        <f>1-EXP(-1*($F$3+$G$3*G5/100)^2)</f>
        <v>0.70249108929636161</v>
      </c>
    </row>
    <row r="6" spans="1:8">
      <c r="A6">
        <v>2</v>
      </c>
      <c r="B6" s="96">
        <f t="shared" ref="B6:B17" si="0">EXP($A$3+$B$3*LN(A6)+$C$3*LN(A6)*LN(A6))</f>
        <v>4.0266223253455999</v>
      </c>
      <c r="F6">
        <f t="shared" ref="F6:F17" si="1">B6*(1-EXP(-1*($F$3+$G$3*B6/A6)^2))</f>
        <v>3.3921521058552577</v>
      </c>
      <c r="G6">
        <v>55</v>
      </c>
      <c r="H6">
        <f t="shared" ref="H6:H28" si="2">1-EXP(-1*($F$3+$G$3*G6/100)^2)</f>
        <v>0.70805179489502756</v>
      </c>
    </row>
    <row r="7" spans="1:8">
      <c r="A7">
        <v>3</v>
      </c>
      <c r="B7" s="96">
        <f t="shared" si="0"/>
        <v>4.5929418874604266</v>
      </c>
      <c r="F7">
        <f t="shared" si="1"/>
        <v>3.6937926957856773</v>
      </c>
      <c r="G7">
        <v>60</v>
      </c>
      <c r="H7">
        <f t="shared" si="2"/>
        <v>0.71355030256908347</v>
      </c>
    </row>
    <row r="8" spans="1:8">
      <c r="A8">
        <v>4</v>
      </c>
      <c r="B8" s="96">
        <f t="shared" si="0"/>
        <v>5.0290308787568856</v>
      </c>
      <c r="F8">
        <f t="shared" si="1"/>
        <v>3.922140058014592</v>
      </c>
      <c r="G8">
        <v>65</v>
      </c>
      <c r="H8">
        <f t="shared" si="2"/>
        <v>0.7189861967658181</v>
      </c>
    </row>
    <row r="9" spans="1:8">
      <c r="A9">
        <v>5</v>
      </c>
      <c r="B9" s="96">
        <f t="shared" si="0"/>
        <v>5.3874068579452166</v>
      </c>
      <c r="F9">
        <f t="shared" si="1"/>
        <v>4.1098347851108494</v>
      </c>
      <c r="G9">
        <v>70</v>
      </c>
      <c r="H9">
        <f t="shared" si="2"/>
        <v>0.72435909689351829</v>
      </c>
    </row>
    <row r="10" spans="1:8">
      <c r="A10">
        <v>6</v>
      </c>
      <c r="B10" s="96">
        <f t="shared" si="0"/>
        <v>5.6934809334290959</v>
      </c>
      <c r="F10">
        <f t="shared" si="1"/>
        <v>4.2710138553712946</v>
      </c>
      <c r="G10">
        <v>75</v>
      </c>
      <c r="H10">
        <f t="shared" si="2"/>
        <v>0.72966865687771554</v>
      </c>
    </row>
    <row r="11" spans="1:8">
      <c r="A11">
        <v>7</v>
      </c>
      <c r="B11" s="96">
        <f t="shared" si="0"/>
        <v>5.9616637624063529</v>
      </c>
      <c r="F11">
        <f t="shared" si="1"/>
        <v>4.4132296719822683</v>
      </c>
      <c r="G11">
        <v>80</v>
      </c>
      <c r="H11">
        <f t="shared" si="2"/>
        <v>0.73491456470098471</v>
      </c>
    </row>
    <row r="12" spans="1:8">
      <c r="A12">
        <v>8</v>
      </c>
      <c r="B12" s="96">
        <f t="shared" si="0"/>
        <v>6.2009854089375329</v>
      </c>
      <c r="F12">
        <f t="shared" si="1"/>
        <v>4.5410591814743917</v>
      </c>
      <c r="G12">
        <v>85</v>
      </c>
      <c r="H12">
        <f t="shared" si="2"/>
        <v>0.74009654192700558</v>
      </c>
    </row>
    <row r="13" spans="1:8">
      <c r="A13">
        <v>9</v>
      </c>
      <c r="B13" s="96">
        <f t="shared" si="0"/>
        <v>6.4175094572244324</v>
      </c>
      <c r="F13">
        <f t="shared" si="1"/>
        <v>4.6575185095506537</v>
      </c>
      <c r="G13">
        <v>90</v>
      </c>
      <c r="H13">
        <f t="shared" si="2"/>
        <v>0.74521434320960456</v>
      </c>
    </row>
    <row r="14" spans="1:8">
      <c r="A14">
        <v>10</v>
      </c>
      <c r="B14" s="96">
        <f t="shared" si="0"/>
        <v>6.6155203384576264</v>
      </c>
      <c r="F14">
        <f t="shared" si="1"/>
        <v>4.7647171462450899</v>
      </c>
      <c r="G14">
        <v>95</v>
      </c>
      <c r="H14">
        <f t="shared" si="2"/>
        <v>0.75026775578749161</v>
      </c>
    </row>
    <row r="15" spans="1:8">
      <c r="A15">
        <v>11</v>
      </c>
      <c r="B15" s="96">
        <f t="shared" si="0"/>
        <v>6.7981663309461329</v>
      </c>
      <c r="F15">
        <f t="shared" si="1"/>
        <v>4.864197492597965</v>
      </c>
      <c r="G15">
        <v>100</v>
      </c>
      <c r="H15">
        <f t="shared" si="2"/>
        <v>0.75525659896540875</v>
      </c>
    </row>
    <row r="16" spans="1:8">
      <c r="A16">
        <v>12</v>
      </c>
      <c r="B16" s="96">
        <f t="shared" si="0"/>
        <v>6.9678339549046999</v>
      </c>
      <c r="F16">
        <f t="shared" si="1"/>
        <v>4.9571267779688357</v>
      </c>
      <c r="G16">
        <v>105</v>
      </c>
      <c r="H16">
        <f t="shared" si="2"/>
        <v>0.76018072358240951</v>
      </c>
    </row>
    <row r="17" spans="1:8">
      <c r="A17">
        <v>13</v>
      </c>
      <c r="B17" s="96">
        <f t="shared" si="0"/>
        <v>7.1263786897723298</v>
      </c>
      <c r="F17">
        <f t="shared" si="1"/>
        <v>5.0444128756034781</v>
      </c>
      <c r="G17">
        <v>110</v>
      </c>
      <c r="H17">
        <f t="shared" si="2"/>
        <v>0.76504001146798084</v>
      </c>
    </row>
    <row r="18" spans="1:8">
      <c r="G18">
        <v>115</v>
      </c>
      <c r="H18">
        <f t="shared" si="2"/>
        <v>0.76983437488672379</v>
      </c>
    </row>
    <row r="19" spans="1:8">
      <c r="G19">
        <v>120</v>
      </c>
      <c r="H19">
        <f t="shared" si="2"/>
        <v>0.77456375597230165</v>
      </c>
    </row>
    <row r="20" spans="1:8">
      <c r="G20">
        <v>125</v>
      </c>
      <c r="H20">
        <f t="shared" si="2"/>
        <v>0.77922812615136539</v>
      </c>
    </row>
    <row r="21" spans="1:8">
      <c r="G21">
        <v>130</v>
      </c>
      <c r="H21">
        <f t="shared" si="2"/>
        <v>0.78382748555815551</v>
      </c>
    </row>
    <row r="22" spans="1:8">
      <c r="G22">
        <v>135</v>
      </c>
      <c r="H22">
        <f t="shared" si="2"/>
        <v>0.78836186244048112</v>
      </c>
    </row>
    <row r="23" spans="1:8">
      <c r="G23">
        <v>140</v>
      </c>
      <c r="H23">
        <f t="shared" si="2"/>
        <v>0.79283131255776862</v>
      </c>
    </row>
    <row r="24" spans="1:8">
      <c r="G24">
        <v>145</v>
      </c>
      <c r="H24">
        <f t="shared" si="2"/>
        <v>0.79723591857186238</v>
      </c>
    </row>
    <row r="25" spans="1:8">
      <c r="G25">
        <v>150</v>
      </c>
      <c r="H25">
        <f t="shared" si="2"/>
        <v>0.80157578943126073</v>
      </c>
    </row>
    <row r="26" spans="1:8">
      <c r="G26">
        <v>155</v>
      </c>
      <c r="H26">
        <f t="shared" si="2"/>
        <v>0.80585105974945548</v>
      </c>
    </row>
    <row r="27" spans="1:8">
      <c r="G27">
        <v>160</v>
      </c>
      <c r="H27">
        <f t="shared" si="2"/>
        <v>0.81006188917803812</v>
      </c>
    </row>
    <row r="28" spans="1:8">
      <c r="G28">
        <v>300</v>
      </c>
      <c r="H28">
        <f t="shared" si="2"/>
        <v>0.90310940658712047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53"/>
  <sheetViews>
    <sheetView topLeftCell="B31" workbookViewId="0">
      <selection activeCell="E4" sqref="E4"/>
    </sheetView>
  </sheetViews>
  <sheetFormatPr baseColWidth="10" defaultRowHeight="12.75"/>
  <sheetData>
    <row r="1" spans="1:6">
      <c r="A1" t="s">
        <v>1584</v>
      </c>
      <c r="B1" t="s">
        <v>1585</v>
      </c>
      <c r="C1" t="s">
        <v>1586</v>
      </c>
      <c r="E1" t="s">
        <v>1620</v>
      </c>
    </row>
    <row r="2" spans="1:6">
      <c r="B2">
        <v>5</v>
      </c>
      <c r="C2">
        <v>0.5</v>
      </c>
    </row>
    <row r="3" spans="1:6">
      <c r="E3" t="s">
        <v>1622</v>
      </c>
      <c r="F3" t="s">
        <v>1621</v>
      </c>
    </row>
    <row r="4" spans="1:6">
      <c r="A4" t="s">
        <v>1587</v>
      </c>
      <c r="E4">
        <v>1</v>
      </c>
      <c r="F4">
        <f>1.5*E4^0.8</f>
        <v>1.5</v>
      </c>
    </row>
    <row r="5" spans="1:6">
      <c r="A5">
        <v>1</v>
      </c>
      <c r="B5">
        <f>1+$B$2*(1-A5)</f>
        <v>1</v>
      </c>
      <c r="C5">
        <f>$C$2+(1-$C$2)*(1/A5-1)</f>
        <v>0.5</v>
      </c>
      <c r="E5">
        <f>E4+1</f>
        <v>2</v>
      </c>
      <c r="F5">
        <f t="shared" ref="F5:F53" si="0">1.5*E5^0.8</f>
        <v>2.6116516898883724</v>
      </c>
    </row>
    <row r="6" spans="1:6">
      <c r="A6">
        <v>0.9</v>
      </c>
      <c r="B6">
        <f t="shared" ref="B6:B14" si="1">1+$B$2*(1-A6)</f>
        <v>1.5</v>
      </c>
      <c r="C6">
        <f t="shared" ref="C6:C14" si="2">$C$2+(1-$C$2)*(1/A6-1)</f>
        <v>0.55555555555555558</v>
      </c>
      <c r="E6">
        <f t="shared" ref="E6:E50" si="3">E5+1</f>
        <v>3</v>
      </c>
      <c r="F6">
        <f t="shared" si="0"/>
        <v>3.6123370279210385</v>
      </c>
    </row>
    <row r="7" spans="1:6">
      <c r="A7">
        <f>A6-0.1</f>
        <v>0.8</v>
      </c>
      <c r="B7">
        <f t="shared" si="1"/>
        <v>1.9999999999999998</v>
      </c>
      <c r="C7">
        <f t="shared" si="2"/>
        <v>0.625</v>
      </c>
      <c r="E7">
        <f t="shared" si="3"/>
        <v>4</v>
      </c>
      <c r="F7">
        <f t="shared" si="0"/>
        <v>4.547149699531194</v>
      </c>
    </row>
    <row r="8" spans="1:6">
      <c r="A8">
        <f t="shared" ref="A8:A14" si="4">A7-0.1</f>
        <v>0.70000000000000007</v>
      </c>
      <c r="B8">
        <f t="shared" si="1"/>
        <v>2.4999999999999996</v>
      </c>
      <c r="C8">
        <f t="shared" si="2"/>
        <v>0.71428571428571419</v>
      </c>
      <c r="E8">
        <f t="shared" si="3"/>
        <v>5</v>
      </c>
      <c r="F8">
        <f t="shared" si="0"/>
        <v>5.4358474775827172</v>
      </c>
    </row>
    <row r="9" spans="1:6">
      <c r="A9">
        <f t="shared" si="4"/>
        <v>0.60000000000000009</v>
      </c>
      <c r="B9">
        <f t="shared" si="1"/>
        <v>2.9999999999999996</v>
      </c>
      <c r="C9">
        <f t="shared" si="2"/>
        <v>0.83333333333333326</v>
      </c>
      <c r="E9">
        <f t="shared" si="3"/>
        <v>6</v>
      </c>
      <c r="F9">
        <f t="shared" si="0"/>
        <v>6.2894440689442135</v>
      </c>
    </row>
    <row r="10" spans="1:6">
      <c r="A10">
        <f t="shared" si="4"/>
        <v>0.50000000000000011</v>
      </c>
      <c r="B10">
        <f t="shared" si="1"/>
        <v>3.4999999999999996</v>
      </c>
      <c r="C10">
        <f t="shared" si="2"/>
        <v>0.99999999999999978</v>
      </c>
      <c r="E10">
        <f t="shared" si="3"/>
        <v>7</v>
      </c>
      <c r="F10">
        <f t="shared" si="0"/>
        <v>7.1149145907050499</v>
      </c>
    </row>
    <row r="11" spans="1:6">
      <c r="A11">
        <f t="shared" si="4"/>
        <v>0.40000000000000013</v>
      </c>
      <c r="B11">
        <f t="shared" si="1"/>
        <v>3.9999999999999991</v>
      </c>
      <c r="C11">
        <f t="shared" si="2"/>
        <v>1.2499999999999996</v>
      </c>
      <c r="E11">
        <f t="shared" si="3"/>
        <v>8</v>
      </c>
      <c r="F11">
        <f t="shared" si="0"/>
        <v>7.9170474646373652</v>
      </c>
    </row>
    <row r="12" spans="1:6">
      <c r="A12">
        <f t="shared" si="4"/>
        <v>0.30000000000000016</v>
      </c>
      <c r="B12">
        <f t="shared" si="1"/>
        <v>4.4999999999999991</v>
      </c>
      <c r="C12">
        <f t="shared" si="2"/>
        <v>1.6666666666666659</v>
      </c>
      <c r="E12">
        <f t="shared" si="3"/>
        <v>9</v>
      </c>
      <c r="F12">
        <f t="shared" si="0"/>
        <v>8.6993192021929353</v>
      </c>
    </row>
    <row r="13" spans="1:6">
      <c r="A13">
        <f t="shared" si="4"/>
        <v>0.20000000000000015</v>
      </c>
      <c r="B13">
        <f t="shared" si="1"/>
        <v>4.9999999999999991</v>
      </c>
      <c r="C13">
        <f t="shared" si="2"/>
        <v>2.4999999999999982</v>
      </c>
      <c r="E13">
        <f t="shared" si="3"/>
        <v>10</v>
      </c>
      <c r="F13">
        <f t="shared" si="0"/>
        <v>9.4643601672029014</v>
      </c>
    </row>
    <row r="14" spans="1:6">
      <c r="A14">
        <f t="shared" si="4"/>
        <v>0.10000000000000014</v>
      </c>
      <c r="B14">
        <f t="shared" si="1"/>
        <v>5.5</v>
      </c>
      <c r="C14">
        <f t="shared" si="2"/>
        <v>4.9999999999999929</v>
      </c>
      <c r="E14">
        <f t="shared" si="3"/>
        <v>11</v>
      </c>
      <c r="F14">
        <f t="shared" si="0"/>
        <v>10.214224691283453</v>
      </c>
    </row>
    <row r="15" spans="1:6">
      <c r="E15">
        <f t="shared" si="3"/>
        <v>12</v>
      </c>
      <c r="F15">
        <f t="shared" si="0"/>
        <v>10.950558154077704</v>
      </c>
    </row>
    <row r="16" spans="1:6">
      <c r="A16" t="s">
        <v>1588</v>
      </c>
      <c r="E16">
        <f t="shared" si="3"/>
        <v>13</v>
      </c>
      <c r="F16">
        <f t="shared" si="0"/>
        <v>11.674705683059207</v>
      </c>
    </row>
    <row r="17" spans="5:6">
      <c r="E17">
        <f t="shared" si="3"/>
        <v>14</v>
      </c>
      <c r="F17">
        <f t="shared" si="0"/>
        <v>12.387785809484189</v>
      </c>
    </row>
    <row r="18" spans="5:6">
      <c r="E18">
        <f t="shared" si="3"/>
        <v>15</v>
      </c>
      <c r="F18">
        <f t="shared" si="0"/>
        <v>13.090742080935481</v>
      </c>
    </row>
    <row r="19" spans="5:6">
      <c r="E19">
        <f t="shared" si="3"/>
        <v>16</v>
      </c>
      <c r="F19">
        <f t="shared" si="0"/>
        <v>13.784380259964419</v>
      </c>
    </row>
    <row r="20" spans="5:6">
      <c r="E20">
        <f t="shared" si="3"/>
        <v>17</v>
      </c>
      <c r="F20">
        <f t="shared" si="0"/>
        <v>14.469395784625295</v>
      </c>
    </row>
    <row r="21" spans="5:6">
      <c r="E21">
        <f t="shared" si="3"/>
        <v>18</v>
      </c>
      <c r="F21">
        <f t="shared" si="0"/>
        <v>15.146394463523693</v>
      </c>
    </row>
    <row r="22" spans="5:6">
      <c r="E22">
        <f t="shared" si="3"/>
        <v>19</v>
      </c>
      <c r="F22">
        <f t="shared" si="0"/>
        <v>15.815908355608096</v>
      </c>
    </row>
    <row r="23" spans="5:6">
      <c r="E23">
        <f t="shared" si="3"/>
        <v>20</v>
      </c>
      <c r="F23">
        <f t="shared" si="0"/>
        <v>16.478408149591765</v>
      </c>
    </row>
    <row r="24" spans="5:6">
      <c r="E24">
        <f t="shared" si="3"/>
        <v>21</v>
      </c>
      <c r="F24">
        <f t="shared" si="0"/>
        <v>17.134312950999675</v>
      </c>
    </row>
    <row r="25" spans="5:6">
      <c r="E25">
        <f t="shared" si="3"/>
        <v>22</v>
      </c>
      <c r="F25">
        <f t="shared" si="0"/>
        <v>17.783998117259983</v>
      </c>
    </row>
    <row r="26" spans="5:6">
      <c r="E26">
        <f t="shared" si="3"/>
        <v>23</v>
      </c>
      <c r="F26">
        <f t="shared" si="0"/>
        <v>18.427801601125559</v>
      </c>
    </row>
    <row r="27" spans="5:6">
      <c r="E27">
        <f t="shared" si="3"/>
        <v>24</v>
      </c>
      <c r="F27">
        <f t="shared" si="0"/>
        <v>19.066029138878626</v>
      </c>
    </row>
    <row r="28" spans="5:6">
      <c r="E28">
        <f t="shared" si="3"/>
        <v>25</v>
      </c>
      <c r="F28">
        <f t="shared" si="0"/>
        <v>19.698958533028257</v>
      </c>
    </row>
    <row r="29" spans="5:6">
      <c r="E29">
        <f t="shared" si="3"/>
        <v>26</v>
      </c>
      <c r="F29">
        <f t="shared" si="0"/>
        <v>20.326843217407308</v>
      </c>
    </row>
    <row r="30" spans="5:6">
      <c r="E30">
        <f t="shared" si="3"/>
        <v>27</v>
      </c>
      <c r="F30">
        <f t="shared" si="0"/>
        <v>20.949915247857358</v>
      </c>
    </row>
    <row r="31" spans="5:6">
      <c r="E31">
        <f t="shared" si="3"/>
        <v>28</v>
      </c>
      <c r="F31">
        <f t="shared" si="0"/>
        <v>21.568387828876386</v>
      </c>
    </row>
    <row r="32" spans="5:6">
      <c r="E32">
        <f t="shared" si="3"/>
        <v>29</v>
      </c>
      <c r="F32">
        <f t="shared" si="0"/>
        <v>22.182457462213041</v>
      </c>
    </row>
    <row r="33" spans="5:6">
      <c r="E33">
        <f t="shared" si="3"/>
        <v>30</v>
      </c>
      <c r="F33">
        <f t="shared" si="0"/>
        <v>22.792305785045318</v>
      </c>
    </row>
    <row r="34" spans="5:6">
      <c r="E34">
        <f t="shared" si="3"/>
        <v>31</v>
      </c>
      <c r="F34">
        <f t="shared" si="0"/>
        <v>23.398101151430904</v>
      </c>
    </row>
    <row r="35" spans="5:6">
      <c r="E35">
        <f t="shared" si="3"/>
        <v>32</v>
      </c>
      <c r="F35">
        <f t="shared" si="0"/>
        <v>24.000000000000011</v>
      </c>
    </row>
    <row r="36" spans="5:6">
      <c r="E36">
        <f t="shared" si="3"/>
        <v>33</v>
      </c>
      <c r="F36">
        <f t="shared" si="0"/>
        <v>24.598148042552367</v>
      </c>
    </row>
    <row r="37" spans="5:6">
      <c r="E37">
        <f t="shared" si="3"/>
        <v>34</v>
      </c>
      <c r="F37">
        <f t="shared" si="0"/>
        <v>25.192681301720231</v>
      </c>
    </row>
    <row r="38" spans="5:6">
      <c r="E38">
        <f t="shared" si="3"/>
        <v>35</v>
      </c>
      <c r="F38">
        <f t="shared" si="0"/>
        <v>25.783727020733679</v>
      </c>
    </row>
    <row r="39" spans="5:6">
      <c r="E39">
        <f t="shared" si="3"/>
        <v>36</v>
      </c>
      <c r="F39">
        <f t="shared" si="0"/>
        <v>26.371404464251697</v>
      </c>
    </row>
    <row r="40" spans="5:6">
      <c r="E40">
        <f t="shared" si="3"/>
        <v>37</v>
      </c>
      <c r="F40">
        <f t="shared" si="0"/>
        <v>26.955825625962348</v>
      </c>
    </row>
    <row r="41" spans="5:6">
      <c r="E41">
        <f t="shared" si="3"/>
        <v>38</v>
      </c>
      <c r="F41">
        <f t="shared" si="0"/>
        <v>27.537095856029012</v>
      </c>
    </row>
    <row r="42" spans="5:6">
      <c r="E42">
        <f t="shared" si="3"/>
        <v>39</v>
      </c>
      <c r="F42">
        <f t="shared" si="0"/>
        <v>28.11531441932997</v>
      </c>
    </row>
    <row r="43" spans="5:6">
      <c r="E43">
        <f t="shared" si="3"/>
        <v>40</v>
      </c>
      <c r="F43">
        <f t="shared" si="0"/>
        <v>28.690574993701109</v>
      </c>
    </row>
    <row r="44" spans="5:6">
      <c r="E44">
        <f t="shared" si="3"/>
        <v>41</v>
      </c>
      <c r="F44">
        <f t="shared" si="0"/>
        <v>29.262966115966989</v>
      </c>
    </row>
    <row r="45" spans="5:6">
      <c r="E45">
        <f t="shared" si="3"/>
        <v>42</v>
      </c>
      <c r="F45">
        <f t="shared" si="0"/>
        <v>29.832571582369688</v>
      </c>
    </row>
    <row r="46" spans="5:6">
      <c r="E46">
        <f t="shared" si="3"/>
        <v>43</v>
      </c>
      <c r="F46">
        <f t="shared" si="0"/>
        <v>30.399470809031513</v>
      </c>
    </row>
    <row r="47" spans="5:6">
      <c r="E47">
        <f t="shared" si="3"/>
        <v>44</v>
      </c>
      <c r="F47">
        <f t="shared" si="0"/>
        <v>30.963739157275768</v>
      </c>
    </row>
    <row r="48" spans="5:6">
      <c r="E48">
        <f t="shared" si="3"/>
        <v>45</v>
      </c>
      <c r="F48">
        <f t="shared" si="0"/>
        <v>31.525448227951564</v>
      </c>
    </row>
    <row r="49" spans="5:6">
      <c r="E49">
        <f t="shared" si="3"/>
        <v>46</v>
      </c>
      <c r="F49">
        <f t="shared" si="0"/>
        <v>32.084666128338149</v>
      </c>
    </row>
    <row r="50" spans="5:6">
      <c r="E50">
        <f t="shared" si="3"/>
        <v>47</v>
      </c>
      <c r="F50">
        <f t="shared" si="0"/>
        <v>32.641457714723238</v>
      </c>
    </row>
    <row r="51" spans="5:6">
      <c r="E51">
        <f>E50+1</f>
        <v>48</v>
      </c>
      <c r="F51">
        <f t="shared" si="0"/>
        <v>33.195884813342218</v>
      </c>
    </row>
    <row r="52" spans="5:6">
      <c r="E52">
        <f>E51+1</f>
        <v>49</v>
      </c>
      <c r="F52">
        <f t="shared" si="0"/>
        <v>33.748006422018406</v>
      </c>
    </row>
    <row r="53" spans="5:6">
      <c r="E53">
        <f>E52+1</f>
        <v>50</v>
      </c>
      <c r="F53">
        <f t="shared" si="0"/>
        <v>34.297878894549484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"/>
  <sheetViews>
    <sheetView workbookViewId="0">
      <selection activeCell="H38" sqref="H38"/>
    </sheetView>
  </sheetViews>
  <sheetFormatPr baseColWidth="10" defaultRowHeight="12.75"/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G218"/>
  <sheetViews>
    <sheetView workbookViewId="0">
      <selection activeCell="H38" sqref="H38"/>
    </sheetView>
  </sheetViews>
  <sheetFormatPr baseColWidth="10" defaultRowHeight="12.75"/>
  <cols>
    <col min="1" max="1" width="5" customWidth="1"/>
    <col min="2" max="2" width="16.28515625" customWidth="1"/>
    <col min="3" max="3" width="5.42578125" customWidth="1"/>
    <col min="4" max="4" width="6.85546875" customWidth="1"/>
    <col min="5" max="5" width="9.140625" customWidth="1"/>
    <col min="6" max="7" width="5.28515625" customWidth="1"/>
    <col min="8" max="8" width="6.5703125" customWidth="1"/>
    <col min="9" max="9" width="6.42578125" customWidth="1"/>
    <col min="10" max="10" width="8.7109375" customWidth="1"/>
    <col min="11" max="11" width="6.42578125" customWidth="1"/>
    <col min="12" max="12" width="7" customWidth="1"/>
    <col min="13" max="13" width="7.28515625" customWidth="1"/>
    <col min="14" max="14" width="8" customWidth="1"/>
    <col min="15" max="15" width="10.85546875" customWidth="1"/>
    <col min="16" max="16" width="7.85546875" customWidth="1"/>
    <col min="17" max="17" width="7.5703125" customWidth="1"/>
    <col min="18" max="18" width="6.42578125" customWidth="1"/>
    <col min="19" max="19" width="6.28515625" customWidth="1"/>
    <col min="20" max="20" width="6.7109375" customWidth="1"/>
    <col min="21" max="21" width="6.5703125" customWidth="1"/>
    <col min="22" max="22" width="5" customWidth="1"/>
    <col min="23" max="23" width="6.42578125" customWidth="1"/>
    <col min="24" max="24" width="8.140625" customWidth="1"/>
    <col min="25" max="25" width="8.5703125" customWidth="1"/>
  </cols>
  <sheetData>
    <row r="1" spans="1:33">
      <c r="A1" s="1" t="s">
        <v>1321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 t="s">
        <v>1454</v>
      </c>
      <c r="P1" s="2"/>
      <c r="Q1" s="2"/>
      <c r="R1" s="2"/>
      <c r="S1" s="2"/>
      <c r="T1" s="2"/>
      <c r="U1" s="2"/>
      <c r="V1" s="2"/>
      <c r="W1" s="2"/>
      <c r="X1" s="2"/>
      <c r="Y1" s="2"/>
      <c r="AA1" t="s">
        <v>1531</v>
      </c>
      <c r="AB1" t="s">
        <v>1532</v>
      </c>
      <c r="AC1" t="s">
        <v>1533</v>
      </c>
    </row>
    <row r="2" spans="1:3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33" s="13" customFormat="1" ht="45.75" customHeight="1">
      <c r="A3" s="10" t="s">
        <v>1466</v>
      </c>
      <c r="B3" s="288" t="s">
        <v>1322</v>
      </c>
      <c r="C3" s="10" t="s">
        <v>1464</v>
      </c>
      <c r="D3" s="288" t="s">
        <v>1462</v>
      </c>
      <c r="E3" s="10" t="s">
        <v>1468</v>
      </c>
      <c r="F3" s="288" t="s">
        <v>1516</v>
      </c>
      <c r="G3" s="288" t="s">
        <v>1517</v>
      </c>
      <c r="H3" s="295" t="s">
        <v>1323</v>
      </c>
      <c r="I3" s="296"/>
      <c r="J3" s="297"/>
      <c r="K3" s="301" t="s">
        <v>1324</v>
      </c>
      <c r="L3" s="297"/>
      <c r="M3" s="301" t="s">
        <v>1325</v>
      </c>
      <c r="N3" s="297"/>
      <c r="O3" s="12" t="s">
        <v>1455</v>
      </c>
      <c r="P3" s="12"/>
      <c r="Q3" s="12"/>
      <c r="R3" s="12"/>
      <c r="S3" s="12"/>
      <c r="T3" s="12" t="s">
        <v>1456</v>
      </c>
      <c r="U3" s="12"/>
      <c r="V3" s="12"/>
      <c r="W3" s="10" t="s">
        <v>1473</v>
      </c>
      <c r="X3" s="10" t="s">
        <v>1471</v>
      </c>
      <c r="Y3" s="10" t="s">
        <v>1470</v>
      </c>
      <c r="Z3" s="13" t="s">
        <v>1545</v>
      </c>
      <c r="AA3">
        <v>35</v>
      </c>
      <c r="AB3">
        <v>8.5902321223157738</v>
      </c>
      <c r="AC3">
        <v>12</v>
      </c>
      <c r="AE3">
        <v>16</v>
      </c>
    </row>
    <row r="4" spans="1:33" s="13" customFormat="1" ht="48" customHeight="1">
      <c r="A4" s="14"/>
      <c r="B4" s="289"/>
      <c r="C4" s="14"/>
      <c r="D4" s="290"/>
      <c r="E4" s="14"/>
      <c r="F4" s="289"/>
      <c r="G4" s="289"/>
      <c r="H4" s="298"/>
      <c r="I4" s="299"/>
      <c r="J4" s="300"/>
      <c r="K4" s="298"/>
      <c r="L4" s="300"/>
      <c r="M4" s="298"/>
      <c r="N4" s="300"/>
      <c r="O4" s="11" t="s">
        <v>1479</v>
      </c>
      <c r="P4" s="11" t="s">
        <v>1480</v>
      </c>
      <c r="Q4" s="383" t="s">
        <v>1457</v>
      </c>
      <c r="R4" s="384"/>
      <c r="S4" s="385"/>
      <c r="T4" s="11" t="s">
        <v>1476</v>
      </c>
      <c r="U4" s="11" t="s">
        <v>1475</v>
      </c>
      <c r="V4" s="11" t="s">
        <v>1474</v>
      </c>
      <c r="W4" s="17"/>
      <c r="X4" s="17"/>
      <c r="Y4" s="17"/>
      <c r="AA4">
        <v>10</v>
      </c>
      <c r="AB4">
        <v>6.7181648890401874E-2</v>
      </c>
      <c r="AC4">
        <v>0.1</v>
      </c>
      <c r="AE4">
        <v>0.28000000000000003</v>
      </c>
    </row>
    <row r="5" spans="1:33" s="13" customFormat="1" ht="39" customHeight="1">
      <c r="A5" s="15" t="s">
        <v>1467</v>
      </c>
      <c r="B5" s="290"/>
      <c r="C5" s="15" t="s">
        <v>1465</v>
      </c>
      <c r="D5" s="11" t="s">
        <v>1463</v>
      </c>
      <c r="E5" s="15" t="s">
        <v>1469</v>
      </c>
      <c r="F5" s="290"/>
      <c r="G5" s="290"/>
      <c r="H5" s="11" t="s">
        <v>1326</v>
      </c>
      <c r="I5" s="11" t="s">
        <v>1327</v>
      </c>
      <c r="J5" s="11" t="s">
        <v>1328</v>
      </c>
      <c r="K5" s="11" t="s">
        <v>1329</v>
      </c>
      <c r="L5" s="11" t="s">
        <v>1330</v>
      </c>
      <c r="M5" s="11" t="s">
        <v>1331</v>
      </c>
      <c r="N5" s="11" t="s">
        <v>1332</v>
      </c>
      <c r="O5" s="16" t="s">
        <v>1458</v>
      </c>
      <c r="P5" s="16" t="s">
        <v>1481</v>
      </c>
      <c r="Q5" s="11" t="s">
        <v>1459</v>
      </c>
      <c r="R5" s="11" t="s">
        <v>1478</v>
      </c>
      <c r="S5" s="11" t="s">
        <v>1460</v>
      </c>
      <c r="T5" s="11" t="s">
        <v>1477</v>
      </c>
      <c r="U5" s="11">
        <v>0</v>
      </c>
      <c r="V5" s="11" t="s">
        <v>1458</v>
      </c>
      <c r="W5" s="18" t="s">
        <v>1458</v>
      </c>
      <c r="X5" s="18" t="s">
        <v>1472</v>
      </c>
      <c r="Y5" s="18" t="s">
        <v>1458</v>
      </c>
      <c r="AA5">
        <v>0.9</v>
      </c>
      <c r="AB5">
        <v>-0.51725538771116597</v>
      </c>
      <c r="AC5">
        <v>-0.51725538771116597</v>
      </c>
      <c r="AE5">
        <v>-0.51725538771116597</v>
      </c>
    </row>
    <row r="6" spans="1:33">
      <c r="A6" s="4">
        <v>116</v>
      </c>
      <c r="B6" s="4" t="s">
        <v>1407</v>
      </c>
      <c r="C6" s="4">
        <v>32</v>
      </c>
      <c r="D6" s="4">
        <v>8</v>
      </c>
      <c r="E6" s="4">
        <v>9</v>
      </c>
      <c r="F6" s="4" t="s">
        <v>1518</v>
      </c>
      <c r="G6" s="4" t="s">
        <v>1529</v>
      </c>
      <c r="H6" s="4">
        <v>7.6</v>
      </c>
      <c r="I6" s="4">
        <v>5.9</v>
      </c>
      <c r="J6" s="4">
        <v>13.5</v>
      </c>
      <c r="K6" s="4">
        <v>37</v>
      </c>
      <c r="L6" s="4">
        <v>16</v>
      </c>
      <c r="M6" s="4">
        <v>159</v>
      </c>
      <c r="N6" s="4">
        <v>144</v>
      </c>
      <c r="O6" s="4">
        <v>2.2000000000000002</v>
      </c>
      <c r="P6" s="4">
        <v>62000</v>
      </c>
      <c r="Q6" s="4">
        <v>0.99</v>
      </c>
      <c r="R6" s="4">
        <v>6.1</v>
      </c>
      <c r="S6" s="4">
        <v>13</v>
      </c>
      <c r="T6" s="4">
        <v>1.3</v>
      </c>
      <c r="U6" s="4">
        <v>382</v>
      </c>
      <c r="V6" s="4">
        <v>0.5</v>
      </c>
      <c r="W6" s="4">
        <v>0.9</v>
      </c>
      <c r="X6" s="4">
        <v>1690</v>
      </c>
      <c r="Y6" s="4">
        <v>0.6</v>
      </c>
      <c r="Z6">
        <f>E6*100/D6</f>
        <v>112.5</v>
      </c>
      <c r="AA6">
        <f t="shared" ref="AA6:AA69" si="0">$AA$3/($AA$4+W6^$AA$5)</f>
        <v>3.2082034455564776</v>
      </c>
      <c r="AB6">
        <f t="shared" ref="AB6:AB69" si="1">(E6-AA6)^2</f>
        <v>33.54490732806385</v>
      </c>
      <c r="AC6">
        <f t="shared" ref="AC6:AC69" si="2">W6/O6</f>
        <v>0.40909090909090906</v>
      </c>
      <c r="AD6">
        <f t="shared" ref="AD6:AD69" si="3">W6*(1+N6/100)-O6</f>
        <v>-4.0000000000000036E-3</v>
      </c>
    </row>
    <row r="7" spans="1:33">
      <c r="A7" s="4">
        <v>22</v>
      </c>
      <c r="B7" s="4" t="s">
        <v>1362</v>
      </c>
      <c r="C7" s="4">
        <v>20</v>
      </c>
      <c r="D7" s="4">
        <v>6.4</v>
      </c>
      <c r="E7" s="4">
        <v>5.8</v>
      </c>
      <c r="F7" s="4" t="s">
        <v>1518</v>
      </c>
      <c r="G7" s="4" t="s">
        <v>1526</v>
      </c>
      <c r="H7" s="4">
        <v>8.3000000000000007</v>
      </c>
      <c r="I7" s="4">
        <v>5.07</v>
      </c>
      <c r="J7" s="4">
        <v>13.37</v>
      </c>
      <c r="K7" s="4">
        <v>39</v>
      </c>
      <c r="L7" s="4">
        <v>15</v>
      </c>
      <c r="M7" s="4">
        <v>183</v>
      </c>
      <c r="N7" s="4">
        <v>164</v>
      </c>
      <c r="O7" s="4">
        <v>1.98</v>
      </c>
      <c r="P7" s="4">
        <v>52300</v>
      </c>
      <c r="Q7" s="4">
        <v>1.32</v>
      </c>
      <c r="R7" s="4">
        <v>6.9</v>
      </c>
      <c r="S7" s="4">
        <v>14</v>
      </c>
      <c r="T7" s="4">
        <v>1.3</v>
      </c>
      <c r="U7" s="4">
        <v>351</v>
      </c>
      <c r="V7" s="4">
        <v>0.5</v>
      </c>
      <c r="W7" s="4">
        <v>0.75</v>
      </c>
      <c r="X7" s="4">
        <v>1520</v>
      </c>
      <c r="Y7" s="4">
        <v>0.7</v>
      </c>
      <c r="Z7">
        <f t="shared" ref="Z7:Z70" si="4">E7*100/D7</f>
        <v>90.625</v>
      </c>
      <c r="AA7">
        <f t="shared" si="0"/>
        <v>3.2491978290488208</v>
      </c>
      <c r="AB7">
        <f t="shared" si="1"/>
        <v>6.5065917153292476</v>
      </c>
      <c r="AC7">
        <f t="shared" si="2"/>
        <v>0.37878787878787878</v>
      </c>
      <c r="AD7">
        <f t="shared" si="3"/>
        <v>0</v>
      </c>
      <c r="AF7">
        <v>18</v>
      </c>
      <c r="AG7">
        <f>$AA$3*AF7/($AA$4+AF7^$AA$5)</f>
        <v>26.829382191520924</v>
      </c>
    </row>
    <row r="8" spans="1:33">
      <c r="A8" s="4">
        <v>27</v>
      </c>
      <c r="B8" s="4" t="s">
        <v>1365</v>
      </c>
      <c r="C8" s="4">
        <v>20</v>
      </c>
      <c r="D8" s="4">
        <v>8</v>
      </c>
      <c r="E8" s="4">
        <v>6.6</v>
      </c>
      <c r="F8" s="4" t="s">
        <v>1518</v>
      </c>
      <c r="G8" s="4" t="s">
        <v>1526</v>
      </c>
      <c r="H8" s="4">
        <v>8.3000000000000007</v>
      </c>
      <c r="I8" s="4">
        <v>7.68</v>
      </c>
      <c r="J8" s="4">
        <v>15.98</v>
      </c>
      <c r="K8" s="4">
        <v>47</v>
      </c>
      <c r="L8" s="4">
        <v>23</v>
      </c>
      <c r="M8" s="4">
        <v>176</v>
      </c>
      <c r="N8" s="4">
        <v>157</v>
      </c>
      <c r="O8" s="4">
        <v>3.6</v>
      </c>
      <c r="P8" s="4">
        <v>36400</v>
      </c>
      <c r="Q8" s="4">
        <v>1.45</v>
      </c>
      <c r="R8" s="4">
        <v>5.3</v>
      </c>
      <c r="S8" s="4">
        <v>19</v>
      </c>
      <c r="T8" s="4">
        <v>2.1</v>
      </c>
      <c r="U8" s="4">
        <v>370</v>
      </c>
      <c r="V8" s="4">
        <v>0.8</v>
      </c>
      <c r="W8" s="4">
        <v>1.4</v>
      </c>
      <c r="X8" s="4">
        <v>1710</v>
      </c>
      <c r="Y8" s="4">
        <v>0.6</v>
      </c>
      <c r="Z8">
        <f t="shared" si="4"/>
        <v>82.5</v>
      </c>
      <c r="AA8">
        <f t="shared" si="0"/>
        <v>3.0827015996667404</v>
      </c>
      <c r="AB8">
        <f t="shared" si="1"/>
        <v>12.371388036986904</v>
      </c>
      <c r="AC8">
        <f t="shared" si="2"/>
        <v>0.38888888888888884</v>
      </c>
      <c r="AD8">
        <f t="shared" si="3"/>
        <v>-1.9999999999997797E-3</v>
      </c>
      <c r="AF8">
        <v>23</v>
      </c>
      <c r="AG8">
        <f>$AA$3*AF8/($AA$4+AF8^$AA$5)</f>
        <v>30.026658513624632</v>
      </c>
    </row>
    <row r="9" spans="1:33">
      <c r="A9" s="4">
        <v>44</v>
      </c>
      <c r="B9" s="4" t="s">
        <v>1375</v>
      </c>
      <c r="C9" s="4">
        <v>20</v>
      </c>
      <c r="D9" s="4">
        <v>7.3</v>
      </c>
      <c r="E9" s="4">
        <v>5.9</v>
      </c>
      <c r="F9" s="4" t="s">
        <v>1518</v>
      </c>
      <c r="G9" s="4" t="s">
        <v>1526</v>
      </c>
      <c r="H9" s="4">
        <v>7.15</v>
      </c>
      <c r="I9" s="4">
        <v>5.18</v>
      </c>
      <c r="J9" s="4">
        <v>12.33</v>
      </c>
      <c r="K9" s="4">
        <v>51</v>
      </c>
      <c r="L9" s="4">
        <v>21</v>
      </c>
      <c r="M9" s="4">
        <v>176</v>
      </c>
      <c r="N9" s="4">
        <v>166</v>
      </c>
      <c r="O9" s="4">
        <v>2.63</v>
      </c>
      <c r="P9" s="4">
        <v>38300</v>
      </c>
      <c r="Q9" s="4">
        <v>1.49</v>
      </c>
      <c r="R9" s="4">
        <v>5.7</v>
      </c>
      <c r="S9" s="4">
        <v>15</v>
      </c>
      <c r="T9" s="4">
        <v>1.5</v>
      </c>
      <c r="U9" s="4">
        <v>352</v>
      </c>
      <c r="V9" s="4">
        <v>0.5</v>
      </c>
      <c r="W9" s="4">
        <v>0.99</v>
      </c>
      <c r="X9" s="4">
        <v>1770</v>
      </c>
      <c r="Y9" s="4">
        <v>0.5</v>
      </c>
      <c r="Z9">
        <f t="shared" si="4"/>
        <v>80.821917808219183</v>
      </c>
      <c r="AA9">
        <f t="shared" si="0"/>
        <v>3.1844249279167278</v>
      </c>
      <c r="AB9">
        <f t="shared" si="1"/>
        <v>7.3743479721200709</v>
      </c>
      <c r="AC9">
        <f t="shared" si="2"/>
        <v>0.37642585551330798</v>
      </c>
      <c r="AD9">
        <f t="shared" si="3"/>
        <v>3.4000000000000696E-3</v>
      </c>
    </row>
    <row r="10" spans="1:33">
      <c r="A10" s="4">
        <v>87</v>
      </c>
      <c r="B10" s="4" t="s">
        <v>1385</v>
      </c>
      <c r="C10" s="4">
        <v>28</v>
      </c>
      <c r="D10" s="4">
        <v>6</v>
      </c>
      <c r="E10" s="4">
        <v>8.4</v>
      </c>
      <c r="F10" s="4" t="s">
        <v>1518</v>
      </c>
      <c r="G10" s="4" t="s">
        <v>1526</v>
      </c>
      <c r="H10" s="4">
        <v>13.2</v>
      </c>
      <c r="I10" s="4">
        <v>1.9</v>
      </c>
      <c r="J10" s="4">
        <v>15.1</v>
      </c>
      <c r="K10" s="4">
        <v>31</v>
      </c>
      <c r="L10" s="4">
        <v>4</v>
      </c>
      <c r="M10" s="4">
        <v>121</v>
      </c>
      <c r="N10" s="4">
        <v>162</v>
      </c>
      <c r="O10" s="4">
        <v>0.55000000000000004</v>
      </c>
      <c r="P10" s="4">
        <v>80000</v>
      </c>
      <c r="Q10" s="4">
        <v>0.81</v>
      </c>
      <c r="R10" s="4">
        <v>6.5</v>
      </c>
      <c r="S10" s="4">
        <v>4</v>
      </c>
      <c r="T10" s="4">
        <v>0.8</v>
      </c>
      <c r="U10" s="4">
        <v>423</v>
      </c>
      <c r="V10" s="4">
        <v>0.3</v>
      </c>
      <c r="W10" s="4">
        <v>0.21</v>
      </c>
      <c r="X10" s="4">
        <v>690</v>
      </c>
      <c r="Y10" s="4">
        <v>1.4</v>
      </c>
      <c r="Z10">
        <f t="shared" si="4"/>
        <v>140</v>
      </c>
      <c r="AA10">
        <f t="shared" si="0"/>
        <v>3.4161441145778437</v>
      </c>
      <c r="AB10">
        <f t="shared" si="1"/>
        <v>24.838819486657073</v>
      </c>
      <c r="AC10">
        <f t="shared" si="2"/>
        <v>0.38181818181818178</v>
      </c>
      <c r="AD10">
        <f t="shared" si="3"/>
        <v>1.9999999999997797E-4</v>
      </c>
    </row>
    <row r="11" spans="1:33">
      <c r="A11" s="4">
        <v>112</v>
      </c>
      <c r="B11" s="4" t="s">
        <v>1405</v>
      </c>
      <c r="C11" s="4">
        <v>32</v>
      </c>
      <c r="D11" s="4">
        <v>9</v>
      </c>
      <c r="E11" s="4">
        <v>8</v>
      </c>
      <c r="F11" s="4" t="s">
        <v>1518</v>
      </c>
      <c r="G11" s="4" t="s">
        <v>1528</v>
      </c>
      <c r="H11" s="4">
        <v>8.1999999999999993</v>
      </c>
      <c r="I11" s="4">
        <v>6.7</v>
      </c>
      <c r="J11" s="4">
        <v>14.9</v>
      </c>
      <c r="K11" s="4">
        <v>37</v>
      </c>
      <c r="L11" s="4">
        <v>17</v>
      </c>
      <c r="M11" s="4">
        <v>158</v>
      </c>
      <c r="N11" s="4">
        <v>150</v>
      </c>
      <c r="O11" s="4">
        <v>2.5</v>
      </c>
      <c r="P11" s="4">
        <v>55000</v>
      </c>
      <c r="Q11" s="4">
        <v>1.1299999999999999</v>
      </c>
      <c r="R11" s="4">
        <v>6.2</v>
      </c>
      <c r="S11" s="4">
        <v>15</v>
      </c>
      <c r="T11" s="4">
        <v>1.7</v>
      </c>
      <c r="U11" s="4">
        <v>355</v>
      </c>
      <c r="V11" s="4">
        <v>0.6</v>
      </c>
      <c r="W11" s="4">
        <v>1</v>
      </c>
      <c r="X11" s="4">
        <v>1470</v>
      </c>
      <c r="Y11" s="4">
        <v>0.6</v>
      </c>
      <c r="Z11">
        <f t="shared" si="4"/>
        <v>88.888888888888886</v>
      </c>
      <c r="AA11">
        <f t="shared" si="0"/>
        <v>3.1818181818181817</v>
      </c>
      <c r="AB11">
        <f t="shared" si="1"/>
        <v>23.214876033057852</v>
      </c>
      <c r="AC11">
        <f t="shared" si="2"/>
        <v>0.4</v>
      </c>
      <c r="AD11">
        <f t="shared" si="3"/>
        <v>0</v>
      </c>
    </row>
    <row r="12" spans="1:33">
      <c r="A12" s="4">
        <v>120</v>
      </c>
      <c r="B12" s="6" t="s">
        <v>1408</v>
      </c>
      <c r="C12" s="4">
        <v>32</v>
      </c>
      <c r="D12" s="4">
        <v>8</v>
      </c>
      <c r="E12" s="4">
        <v>11</v>
      </c>
      <c r="F12" s="4" t="s">
        <v>1518</v>
      </c>
      <c r="G12" s="4" t="s">
        <v>1528</v>
      </c>
      <c r="H12" s="4">
        <v>14.4</v>
      </c>
      <c r="I12" s="4">
        <v>5.2</v>
      </c>
      <c r="J12" s="4">
        <v>19.600000000000001</v>
      </c>
      <c r="K12" s="4">
        <v>29</v>
      </c>
      <c r="L12" s="4">
        <v>8</v>
      </c>
      <c r="M12" s="4">
        <v>143</v>
      </c>
      <c r="N12" s="4">
        <v>150</v>
      </c>
      <c r="O12" s="4">
        <v>1.5</v>
      </c>
      <c r="P12" s="4">
        <v>46000</v>
      </c>
      <c r="Q12" s="4">
        <v>1.34</v>
      </c>
      <c r="R12" s="4">
        <v>6.2</v>
      </c>
      <c r="S12" s="4">
        <v>9</v>
      </c>
      <c r="T12" s="4">
        <v>1.5</v>
      </c>
      <c r="U12" s="4">
        <v>418</v>
      </c>
      <c r="V12" s="4">
        <v>0.6</v>
      </c>
      <c r="W12" s="4">
        <v>0.6</v>
      </c>
      <c r="X12" s="4">
        <v>1000</v>
      </c>
      <c r="Y12" s="4">
        <v>1</v>
      </c>
      <c r="Z12">
        <f t="shared" si="4"/>
        <v>137.5</v>
      </c>
      <c r="AA12">
        <f t="shared" si="0"/>
        <v>3.2921204167561968</v>
      </c>
      <c r="AB12">
        <f t="shared" si="1"/>
        <v>59.411407669786669</v>
      </c>
      <c r="AC12">
        <f t="shared" si="2"/>
        <v>0.39999999999999997</v>
      </c>
      <c r="AD12">
        <f t="shared" si="3"/>
        <v>0</v>
      </c>
    </row>
    <row r="13" spans="1:33">
      <c r="A13" s="4">
        <v>144</v>
      </c>
      <c r="B13" s="4" t="s">
        <v>1420</v>
      </c>
      <c r="C13" s="4">
        <v>33</v>
      </c>
      <c r="D13" s="4">
        <v>8</v>
      </c>
      <c r="E13" s="4">
        <v>5</v>
      </c>
      <c r="F13" s="4" t="s">
        <v>1518</v>
      </c>
      <c r="G13" s="4" t="s">
        <v>1528</v>
      </c>
      <c r="H13" s="4">
        <v>3.3</v>
      </c>
      <c r="I13" s="4">
        <v>7</v>
      </c>
      <c r="J13" s="4">
        <v>10.3</v>
      </c>
      <c r="K13" s="4">
        <v>34</v>
      </c>
      <c r="L13" s="4">
        <v>23</v>
      </c>
      <c r="M13" s="4">
        <v>115</v>
      </c>
      <c r="N13" s="4">
        <v>118</v>
      </c>
      <c r="O13" s="4">
        <v>2.4</v>
      </c>
      <c r="P13" s="4">
        <v>123700</v>
      </c>
      <c r="Q13" s="4">
        <v>0.59</v>
      </c>
      <c r="R13" s="4">
        <v>7.3</v>
      </c>
      <c r="S13" s="4">
        <v>18</v>
      </c>
      <c r="T13" s="4">
        <v>0.8</v>
      </c>
      <c r="U13" s="4">
        <v>354</v>
      </c>
      <c r="V13" s="4">
        <v>0.3</v>
      </c>
      <c r="W13" s="4">
        <v>1.1000000000000001</v>
      </c>
      <c r="X13" s="4">
        <v>3050</v>
      </c>
      <c r="Y13" s="4">
        <v>0.3</v>
      </c>
      <c r="Z13">
        <f t="shared" si="4"/>
        <v>62.5</v>
      </c>
      <c r="AA13">
        <f t="shared" si="0"/>
        <v>3.1561199957888681</v>
      </c>
      <c r="AB13">
        <f t="shared" si="1"/>
        <v>3.3998934699296437</v>
      </c>
      <c r="AC13">
        <f t="shared" si="2"/>
        <v>0.45833333333333337</v>
      </c>
      <c r="AD13">
        <f t="shared" si="3"/>
        <v>-2.0000000000002238E-3</v>
      </c>
    </row>
    <row r="14" spans="1:33">
      <c r="A14" s="4">
        <v>148</v>
      </c>
      <c r="B14" s="4" t="s">
        <v>1421</v>
      </c>
      <c r="C14" s="4">
        <v>33</v>
      </c>
      <c r="D14" s="4">
        <v>6</v>
      </c>
      <c r="E14" s="4">
        <v>5</v>
      </c>
      <c r="F14" s="4" t="s">
        <v>1518</v>
      </c>
      <c r="G14" s="4" t="s">
        <v>1528</v>
      </c>
      <c r="H14" s="4">
        <v>4.5</v>
      </c>
      <c r="I14" s="4">
        <v>5.6</v>
      </c>
      <c r="J14" s="4">
        <v>10.1</v>
      </c>
      <c r="K14" s="4">
        <v>36</v>
      </c>
      <c r="L14" s="4">
        <v>20</v>
      </c>
      <c r="M14" s="4">
        <v>118</v>
      </c>
      <c r="N14" s="4">
        <v>122</v>
      </c>
      <c r="O14" s="4">
        <v>2</v>
      </c>
      <c r="P14" s="4">
        <v>70500</v>
      </c>
      <c r="Q14" s="4">
        <v>0.97</v>
      </c>
      <c r="R14" s="4">
        <v>6.8</v>
      </c>
      <c r="S14" s="4">
        <v>14</v>
      </c>
      <c r="T14" s="4">
        <v>0.5</v>
      </c>
      <c r="U14" s="4">
        <v>404</v>
      </c>
      <c r="V14" s="4">
        <v>0.2</v>
      </c>
      <c r="W14" s="4">
        <v>0.9</v>
      </c>
      <c r="X14" s="4">
        <v>4820</v>
      </c>
      <c r="Y14" s="4">
        <v>0.2</v>
      </c>
      <c r="Z14">
        <f t="shared" si="4"/>
        <v>83.333333333333329</v>
      </c>
      <c r="AA14">
        <f t="shared" si="0"/>
        <v>3.2082034455564776</v>
      </c>
      <c r="AB14">
        <f t="shared" si="1"/>
        <v>3.2105348925156787</v>
      </c>
      <c r="AC14">
        <f t="shared" si="2"/>
        <v>0.45</v>
      </c>
      <c r="AD14">
        <f t="shared" si="3"/>
        <v>-2.0000000000002238E-3</v>
      </c>
    </row>
    <row r="15" spans="1:33">
      <c r="A15" s="4">
        <v>15</v>
      </c>
      <c r="B15" s="4" t="s">
        <v>1358</v>
      </c>
      <c r="C15" s="4">
        <v>20</v>
      </c>
      <c r="D15" s="4">
        <v>7.8</v>
      </c>
      <c r="E15" s="4">
        <v>6.8</v>
      </c>
      <c r="F15" s="4" t="s">
        <v>1518</v>
      </c>
      <c r="G15" s="4" t="s">
        <v>1524</v>
      </c>
      <c r="H15" s="4">
        <v>8.1</v>
      </c>
      <c r="I15" s="4">
        <v>11.25</v>
      </c>
      <c r="J15" s="4">
        <v>19.350000000000001</v>
      </c>
      <c r="K15" s="4">
        <v>47</v>
      </c>
      <c r="L15" s="4">
        <v>28</v>
      </c>
      <c r="M15" s="4">
        <v>164</v>
      </c>
      <c r="N15" s="4">
        <v>157</v>
      </c>
      <c r="O15" s="4">
        <v>5.33</v>
      </c>
      <c r="P15" s="4">
        <v>46600</v>
      </c>
      <c r="Q15" s="4">
        <v>1.28</v>
      </c>
      <c r="R15" s="4">
        <v>6</v>
      </c>
      <c r="S15" s="4">
        <v>32</v>
      </c>
      <c r="T15" s="4">
        <v>2.4</v>
      </c>
      <c r="U15" s="4">
        <v>372</v>
      </c>
      <c r="V15" s="4">
        <v>0.9</v>
      </c>
      <c r="W15" s="4">
        <v>2.0699999999999998</v>
      </c>
      <c r="X15" s="4">
        <v>2220</v>
      </c>
      <c r="Y15" s="4">
        <v>0.4</v>
      </c>
      <c r="Z15">
        <f t="shared" si="4"/>
        <v>87.179487179487182</v>
      </c>
      <c r="AA15">
        <f t="shared" si="0"/>
        <v>2.935073123892916</v>
      </c>
      <c r="AB15">
        <f t="shared" si="1"/>
        <v>14.937659757654862</v>
      </c>
      <c r="AC15">
        <f t="shared" si="2"/>
        <v>0.38836772983114443</v>
      </c>
      <c r="AD15">
        <f t="shared" si="3"/>
        <v>-1.0099999999999554E-2</v>
      </c>
      <c r="AF15">
        <v>11</v>
      </c>
      <c r="AG15">
        <f>$AA$3*AF15/($AA$4+AF15^$AA$5)</f>
        <v>20.638199753081381</v>
      </c>
    </row>
    <row r="16" spans="1:33">
      <c r="A16" s="4">
        <v>26</v>
      </c>
      <c r="B16" s="4" t="s">
        <v>1364</v>
      </c>
      <c r="C16" s="4">
        <v>20</v>
      </c>
      <c r="D16" s="4">
        <v>6.4</v>
      </c>
      <c r="E16" s="4">
        <v>6.1</v>
      </c>
      <c r="F16" s="4" t="s">
        <v>1518</v>
      </c>
      <c r="G16" s="4" t="s">
        <v>1524</v>
      </c>
      <c r="H16" s="4">
        <v>8.5</v>
      </c>
      <c r="I16" s="4">
        <v>6.09</v>
      </c>
      <c r="J16" s="4">
        <v>14.59</v>
      </c>
      <c r="K16" s="4">
        <v>51</v>
      </c>
      <c r="L16" s="4">
        <v>21</v>
      </c>
      <c r="M16" s="4">
        <v>177</v>
      </c>
      <c r="N16" s="4">
        <v>164</v>
      </c>
      <c r="O16" s="4">
        <v>3.12</v>
      </c>
      <c r="P16" s="4">
        <v>46900</v>
      </c>
      <c r="Q16" s="4">
        <v>1.2</v>
      </c>
      <c r="R16" s="4">
        <v>5.6</v>
      </c>
      <c r="S16" s="4">
        <v>17</v>
      </c>
      <c r="T16" s="4">
        <v>1.4</v>
      </c>
      <c r="U16" s="4">
        <v>369</v>
      </c>
      <c r="V16" s="4">
        <v>0.5</v>
      </c>
      <c r="W16" s="4">
        <v>1.18</v>
      </c>
      <c r="X16" s="4">
        <v>2230</v>
      </c>
      <c r="Y16" s="4">
        <v>0.4</v>
      </c>
      <c r="Z16">
        <f t="shared" si="4"/>
        <v>95.3125</v>
      </c>
      <c r="AA16">
        <f t="shared" si="0"/>
        <v>3.1360236723287365</v>
      </c>
      <c r="AB16">
        <f t="shared" si="1"/>
        <v>8.7851556709956267</v>
      </c>
      <c r="AC16">
        <f t="shared" si="2"/>
        <v>0.37820512820512819</v>
      </c>
      <c r="AD16">
        <f t="shared" si="3"/>
        <v>-4.8000000000008036E-3</v>
      </c>
      <c r="AF16">
        <v>22</v>
      </c>
      <c r="AG16">
        <f>$AA$3*AF16/($AA$4+AF16^$AA$5)</f>
        <v>29.445176478213643</v>
      </c>
    </row>
    <row r="17" spans="1:33">
      <c r="A17" s="4">
        <v>39</v>
      </c>
      <c r="B17" s="4" t="s">
        <v>1372</v>
      </c>
      <c r="C17" s="4">
        <v>20</v>
      </c>
      <c r="D17" s="4">
        <v>4.5999999999999996</v>
      </c>
      <c r="E17" s="4">
        <v>4.5</v>
      </c>
      <c r="F17" s="4" t="s">
        <v>1518</v>
      </c>
      <c r="G17" s="4" t="s">
        <v>1524</v>
      </c>
      <c r="H17" s="4">
        <v>5.3</v>
      </c>
      <c r="I17" s="4">
        <v>1.97</v>
      </c>
      <c r="J17" s="4">
        <v>7.27</v>
      </c>
      <c r="K17" s="4">
        <v>48</v>
      </c>
      <c r="L17" s="4">
        <v>13</v>
      </c>
      <c r="M17" s="4">
        <v>146</v>
      </c>
      <c r="N17" s="4" t="s">
        <v>1373</v>
      </c>
      <c r="O17" s="4">
        <v>0.95</v>
      </c>
      <c r="P17" s="4">
        <v>42800</v>
      </c>
      <c r="Q17" s="4">
        <v>1.21</v>
      </c>
      <c r="R17" s="4">
        <v>5.2</v>
      </c>
      <c r="S17" s="4">
        <v>5</v>
      </c>
      <c r="T17" s="4">
        <v>0.7</v>
      </c>
      <c r="U17" s="4">
        <v>403</v>
      </c>
      <c r="V17" s="4">
        <v>0.3</v>
      </c>
      <c r="W17" s="4">
        <v>0.38</v>
      </c>
      <c r="X17" s="4">
        <v>1360</v>
      </c>
      <c r="Y17" s="4">
        <v>0.8</v>
      </c>
      <c r="Z17">
        <f t="shared" si="4"/>
        <v>97.826086956521749</v>
      </c>
      <c r="AA17">
        <f t="shared" si="0"/>
        <v>3.3593746309563435</v>
      </c>
      <c r="AB17">
        <f t="shared" si="1"/>
        <v>1.3010262325059776</v>
      </c>
      <c r="AC17">
        <f t="shared" si="2"/>
        <v>0.4</v>
      </c>
      <c r="AD17" t="e">
        <f t="shared" si="3"/>
        <v>#VALUE!</v>
      </c>
    </row>
    <row r="18" spans="1:33">
      <c r="A18" s="4">
        <v>52</v>
      </c>
      <c r="B18" s="6" t="s">
        <v>1377</v>
      </c>
      <c r="C18" s="4">
        <v>21</v>
      </c>
      <c r="D18" s="4">
        <v>5.0999999999999996</v>
      </c>
      <c r="E18" s="4">
        <v>5.8</v>
      </c>
      <c r="F18" s="4" t="s">
        <v>1518</v>
      </c>
      <c r="G18" s="4" t="s">
        <v>1524</v>
      </c>
      <c r="H18" s="4">
        <v>7.35</v>
      </c>
      <c r="I18" s="4">
        <v>2.7</v>
      </c>
      <c r="J18" s="4">
        <v>10.050000000000001</v>
      </c>
      <c r="K18" s="4">
        <v>44</v>
      </c>
      <c r="L18" s="4">
        <v>12</v>
      </c>
      <c r="M18" s="4">
        <v>162</v>
      </c>
      <c r="N18" s="4">
        <v>167</v>
      </c>
      <c r="O18" s="4">
        <v>1.2</v>
      </c>
      <c r="P18" s="4">
        <v>34500</v>
      </c>
      <c r="Q18" s="4">
        <v>1.51</v>
      </c>
      <c r="R18" s="4">
        <v>5.2</v>
      </c>
      <c r="S18" s="4">
        <v>6</v>
      </c>
      <c r="T18" s="4">
        <v>0.7</v>
      </c>
      <c r="U18" s="4">
        <v>386</v>
      </c>
      <c r="V18" s="4">
        <v>0.3</v>
      </c>
      <c r="W18" s="4">
        <v>0.45</v>
      </c>
      <c r="X18" s="4">
        <v>1710</v>
      </c>
      <c r="Y18" s="4">
        <v>0.7</v>
      </c>
      <c r="Z18">
        <f t="shared" si="4"/>
        <v>113.72549019607844</v>
      </c>
      <c r="AA18">
        <f t="shared" si="0"/>
        <v>3.3373360900028177</v>
      </c>
      <c r="AB18">
        <f t="shared" si="1"/>
        <v>6.0647135336026095</v>
      </c>
      <c r="AC18">
        <f t="shared" si="2"/>
        <v>0.375</v>
      </c>
      <c r="AD18">
        <f t="shared" si="3"/>
        <v>1.5000000000000568E-3</v>
      </c>
    </row>
    <row r="19" spans="1:33">
      <c r="A19" s="4">
        <v>53</v>
      </c>
      <c r="B19" s="4" t="s">
        <v>1378</v>
      </c>
      <c r="C19" s="4">
        <v>21</v>
      </c>
      <c r="D19" s="4">
        <v>5.2</v>
      </c>
      <c r="E19" s="4">
        <v>7</v>
      </c>
      <c r="F19" s="4" t="s">
        <v>1518</v>
      </c>
      <c r="G19" s="4" t="s">
        <v>1524</v>
      </c>
      <c r="H19" s="4">
        <v>8.5</v>
      </c>
      <c r="I19" s="4">
        <v>2.46</v>
      </c>
      <c r="J19" s="4">
        <v>10.96</v>
      </c>
      <c r="K19" s="4">
        <v>46</v>
      </c>
      <c r="L19" s="4">
        <v>10</v>
      </c>
      <c r="M19" s="4">
        <v>155</v>
      </c>
      <c r="N19" s="4">
        <v>185</v>
      </c>
      <c r="O19" s="4">
        <v>1.1399999999999999</v>
      </c>
      <c r="P19" s="4">
        <v>37800</v>
      </c>
      <c r="Q19" s="4">
        <v>1.2</v>
      </c>
      <c r="R19" s="4">
        <v>4.5</v>
      </c>
      <c r="S19" s="4">
        <v>5</v>
      </c>
      <c r="T19" s="4">
        <v>0.6</v>
      </c>
      <c r="U19" s="4">
        <v>380</v>
      </c>
      <c r="V19" s="4">
        <v>0.2</v>
      </c>
      <c r="W19" s="4">
        <v>0.4</v>
      </c>
      <c r="X19" s="4">
        <v>1900</v>
      </c>
      <c r="Y19" s="4">
        <v>0.5</v>
      </c>
      <c r="Z19">
        <f t="shared" si="4"/>
        <v>134.61538461538461</v>
      </c>
      <c r="AA19">
        <f t="shared" si="0"/>
        <v>3.3530096592325975</v>
      </c>
      <c r="AB19">
        <f t="shared" si="1"/>
        <v>13.300538545650735</v>
      </c>
      <c r="AC19">
        <f t="shared" si="2"/>
        <v>0.35087719298245618</v>
      </c>
      <c r="AD19">
        <f t="shared" si="3"/>
        <v>0</v>
      </c>
    </row>
    <row r="20" spans="1:33">
      <c r="A20" s="4">
        <v>108</v>
      </c>
      <c r="B20" s="4" t="s">
        <v>1403</v>
      </c>
      <c r="C20" s="4">
        <v>32</v>
      </c>
      <c r="D20" s="4">
        <v>10</v>
      </c>
      <c r="E20" s="4">
        <v>11</v>
      </c>
      <c r="F20" s="4" t="s">
        <v>1518</v>
      </c>
      <c r="G20" s="4" t="s">
        <v>1524</v>
      </c>
      <c r="H20" s="4">
        <v>8.8000000000000007</v>
      </c>
      <c r="I20" s="4">
        <v>9.1</v>
      </c>
      <c r="J20" s="4">
        <v>17.899999999999999</v>
      </c>
      <c r="K20" s="4">
        <v>41</v>
      </c>
      <c r="L20" s="4">
        <v>21</v>
      </c>
      <c r="M20" s="4">
        <v>165</v>
      </c>
      <c r="N20" s="4">
        <v>147</v>
      </c>
      <c r="O20" s="4">
        <v>3.7</v>
      </c>
      <c r="P20" s="4">
        <v>44000</v>
      </c>
      <c r="Q20" s="4">
        <v>1.24</v>
      </c>
      <c r="R20" s="4">
        <v>5.5</v>
      </c>
      <c r="S20" s="4">
        <v>20</v>
      </c>
      <c r="T20" s="4">
        <v>3.6</v>
      </c>
      <c r="U20" s="4">
        <v>364</v>
      </c>
      <c r="V20" s="4">
        <v>1.3</v>
      </c>
      <c r="W20" s="4">
        <v>1.5</v>
      </c>
      <c r="X20" s="4">
        <v>1030</v>
      </c>
      <c r="Y20" s="4">
        <v>0.9</v>
      </c>
      <c r="Z20">
        <f t="shared" si="4"/>
        <v>110</v>
      </c>
      <c r="AA20">
        <f t="shared" si="0"/>
        <v>3.0593344585155675</v>
      </c>
      <c r="AB20">
        <f t="shared" si="1"/>
        <v>63.054169241718256</v>
      </c>
      <c r="AC20">
        <f t="shared" si="2"/>
        <v>0.40540540540540537</v>
      </c>
      <c r="AD20">
        <f t="shared" si="3"/>
        <v>4.9999999999994493E-3</v>
      </c>
    </row>
    <row r="21" spans="1:33">
      <c r="A21" s="4">
        <v>136</v>
      </c>
      <c r="B21" s="4" t="s">
        <v>1415</v>
      </c>
      <c r="C21" s="4">
        <v>32</v>
      </c>
      <c r="D21" s="4">
        <v>8</v>
      </c>
      <c r="E21" s="4">
        <v>11</v>
      </c>
      <c r="F21" s="4" t="s">
        <v>1518</v>
      </c>
      <c r="G21" s="4" t="s">
        <v>1524</v>
      </c>
      <c r="H21" s="4">
        <v>16.399999999999999</v>
      </c>
      <c r="I21" s="4">
        <v>3.5</v>
      </c>
      <c r="J21" s="4">
        <v>19.899999999999999</v>
      </c>
      <c r="K21" s="4">
        <v>37</v>
      </c>
      <c r="L21" s="4">
        <v>7</v>
      </c>
      <c r="M21" s="4">
        <v>154</v>
      </c>
      <c r="N21" s="4">
        <v>160</v>
      </c>
      <c r="O21" s="4">
        <v>1.3</v>
      </c>
      <c r="P21" s="4">
        <v>49000</v>
      </c>
      <c r="Q21" s="4">
        <v>1.26</v>
      </c>
      <c r="R21" s="4">
        <v>6.2</v>
      </c>
      <c r="S21" s="4">
        <v>8</v>
      </c>
      <c r="T21" s="4">
        <v>1.5</v>
      </c>
      <c r="U21" s="4">
        <v>383</v>
      </c>
      <c r="V21" s="4">
        <v>0.6</v>
      </c>
      <c r="W21" s="4">
        <v>0.5</v>
      </c>
      <c r="X21" s="4">
        <v>870</v>
      </c>
      <c r="Y21" s="4">
        <v>1.2</v>
      </c>
      <c r="Z21">
        <f t="shared" si="4"/>
        <v>137.5</v>
      </c>
      <c r="AA21">
        <f t="shared" si="0"/>
        <v>3.321979525095677</v>
      </c>
      <c r="AB21">
        <f t="shared" si="1"/>
        <v>58.951998413050006</v>
      </c>
      <c r="AC21">
        <f t="shared" si="2"/>
        <v>0.38461538461538458</v>
      </c>
      <c r="AD21">
        <f t="shared" si="3"/>
        <v>0</v>
      </c>
    </row>
    <row r="22" spans="1:33">
      <c r="A22" s="4">
        <v>186</v>
      </c>
      <c r="B22" s="4" t="s">
        <v>1443</v>
      </c>
      <c r="C22" s="4">
        <v>83</v>
      </c>
      <c r="D22" s="4">
        <v>21</v>
      </c>
      <c r="E22" s="4">
        <v>21</v>
      </c>
      <c r="F22" s="4" t="s">
        <v>1518</v>
      </c>
      <c r="G22" s="4" t="s">
        <v>1524</v>
      </c>
      <c r="H22" s="4">
        <v>2.8</v>
      </c>
      <c r="I22" s="4">
        <v>24.2</v>
      </c>
      <c r="J22" s="4">
        <v>27</v>
      </c>
      <c r="K22" s="4">
        <v>33</v>
      </c>
      <c r="L22" s="4">
        <v>29</v>
      </c>
      <c r="M22" s="4">
        <v>137</v>
      </c>
      <c r="N22" s="4">
        <v>114</v>
      </c>
      <c r="O22" s="4">
        <v>7.9</v>
      </c>
      <c r="P22" s="4">
        <v>48400</v>
      </c>
      <c r="Q22" s="4">
        <v>1.07</v>
      </c>
      <c r="R22" s="4">
        <v>5.2</v>
      </c>
      <c r="S22" s="4">
        <v>41</v>
      </c>
      <c r="T22" s="4">
        <v>5.6</v>
      </c>
      <c r="U22" s="4">
        <v>411</v>
      </c>
      <c r="V22" s="4">
        <v>2.2999999999999998</v>
      </c>
      <c r="W22" s="4">
        <v>3.7</v>
      </c>
      <c r="X22" s="4">
        <v>1410</v>
      </c>
      <c r="Y22" s="4">
        <v>0.6</v>
      </c>
      <c r="Z22">
        <f t="shared" si="4"/>
        <v>100</v>
      </c>
      <c r="AA22">
        <f t="shared" si="0"/>
        <v>2.6422578553855329</v>
      </c>
      <c r="AB22">
        <f t="shared" si="1"/>
        <v>337.00669664815416</v>
      </c>
      <c r="AC22">
        <f t="shared" si="2"/>
        <v>0.46835443037974683</v>
      </c>
      <c r="AD22">
        <f t="shared" si="3"/>
        <v>1.7999999999998906E-2</v>
      </c>
    </row>
    <row r="23" spans="1:33">
      <c r="A23" s="4">
        <v>1</v>
      </c>
      <c r="B23" s="6" t="s">
        <v>1333</v>
      </c>
      <c r="C23" s="4">
        <v>12</v>
      </c>
      <c r="D23" s="4">
        <v>2.6</v>
      </c>
      <c r="E23" s="4">
        <v>2.8</v>
      </c>
      <c r="F23" s="4" t="s">
        <v>1518</v>
      </c>
      <c r="G23" s="4" t="s">
        <v>1525</v>
      </c>
      <c r="H23" s="4">
        <v>1.4</v>
      </c>
      <c r="I23" s="4">
        <v>2.14</v>
      </c>
      <c r="J23" s="4">
        <v>3.54</v>
      </c>
      <c r="K23" s="4">
        <v>44</v>
      </c>
      <c r="L23" s="4">
        <v>27</v>
      </c>
      <c r="M23" s="4">
        <v>172</v>
      </c>
      <c r="N23" s="4">
        <v>176</v>
      </c>
      <c r="O23" s="4">
        <v>0.94</v>
      </c>
      <c r="P23" s="4">
        <v>53900</v>
      </c>
      <c r="Q23" s="4">
        <v>1.36</v>
      </c>
      <c r="R23" s="4">
        <v>7.3</v>
      </c>
      <c r="S23" s="4">
        <v>7</v>
      </c>
      <c r="T23" s="4" t="s">
        <v>1461</v>
      </c>
      <c r="U23" s="4" t="s">
        <v>1461</v>
      </c>
      <c r="V23" s="4" t="s">
        <v>1461</v>
      </c>
      <c r="W23" s="4">
        <v>0.34</v>
      </c>
      <c r="X23" s="4" t="s">
        <v>1461</v>
      </c>
      <c r="Y23" s="4" t="s">
        <v>1461</v>
      </c>
      <c r="Z23">
        <f t="shared" si="4"/>
        <v>107.69230769230769</v>
      </c>
      <c r="AA23">
        <f t="shared" si="0"/>
        <v>3.3722812064222065</v>
      </c>
      <c r="AB23">
        <f t="shared" si="1"/>
        <v>0.32750577922405638</v>
      </c>
      <c r="AC23">
        <f t="shared" si="2"/>
        <v>0.36170212765957449</v>
      </c>
      <c r="AD23">
        <f t="shared" si="3"/>
        <v>-1.5999999999999348E-3</v>
      </c>
      <c r="AF23">
        <v>0.01</v>
      </c>
      <c r="AG23">
        <f>$AA$3*AF23/($AA$4+AF23^$AA$5)</f>
        <v>3.4944616515171945E-2</v>
      </c>
    </row>
    <row r="24" spans="1:33">
      <c r="A24" s="4">
        <v>34</v>
      </c>
      <c r="B24" s="4" t="s">
        <v>1368</v>
      </c>
      <c r="C24" s="4">
        <v>20</v>
      </c>
      <c r="D24" s="4">
        <v>5.2</v>
      </c>
      <c r="E24" s="4">
        <v>8</v>
      </c>
      <c r="F24" s="4" t="s">
        <v>1518</v>
      </c>
      <c r="G24" s="4" t="s">
        <v>1525</v>
      </c>
      <c r="H24" s="4">
        <v>11.65</v>
      </c>
      <c r="I24" s="4">
        <v>3.63</v>
      </c>
      <c r="J24" s="4">
        <v>15.28</v>
      </c>
      <c r="K24" s="4">
        <v>42</v>
      </c>
      <c r="L24" s="4">
        <v>10</v>
      </c>
      <c r="M24" s="4">
        <v>164</v>
      </c>
      <c r="N24" s="4">
        <v>170</v>
      </c>
      <c r="O24" s="4">
        <v>1.51</v>
      </c>
      <c r="P24" s="4">
        <v>28100</v>
      </c>
      <c r="Q24" s="4">
        <v>2.15</v>
      </c>
      <c r="R24" s="4">
        <v>6</v>
      </c>
      <c r="S24" s="4">
        <v>9</v>
      </c>
      <c r="T24" s="4">
        <v>1.3</v>
      </c>
      <c r="U24" s="4">
        <v>370</v>
      </c>
      <c r="V24" s="4">
        <v>0.5</v>
      </c>
      <c r="W24" s="4">
        <v>0.56000000000000005</v>
      </c>
      <c r="X24" s="4">
        <v>1160</v>
      </c>
      <c r="Y24" s="4">
        <v>0.9</v>
      </c>
      <c r="Z24">
        <f t="shared" si="4"/>
        <v>153.84615384615384</v>
      </c>
      <c r="AA24">
        <f t="shared" si="0"/>
        <v>3.3039347250245483</v>
      </c>
      <c r="AB24">
        <f t="shared" si="1"/>
        <v>22.053029066830259</v>
      </c>
      <c r="AC24">
        <f t="shared" si="2"/>
        <v>0.37086092715231789</v>
      </c>
      <c r="AD24">
        <f t="shared" si="3"/>
        <v>2.0000000000002238E-3</v>
      </c>
      <c r="AF24">
        <v>30</v>
      </c>
      <c r="AG24">
        <f>$AA$3*AF24/($AA$4+AF24^$AA$5)</f>
        <v>33.492232121068504</v>
      </c>
    </row>
    <row r="25" spans="1:33">
      <c r="A25" s="4">
        <v>40</v>
      </c>
      <c r="B25" s="4" t="s">
        <v>1374</v>
      </c>
      <c r="C25" s="4">
        <v>20</v>
      </c>
      <c r="D25" s="4">
        <v>5.5</v>
      </c>
      <c r="E25" s="4">
        <v>5.4</v>
      </c>
      <c r="F25" s="4" t="s">
        <v>1518</v>
      </c>
      <c r="G25" s="4" t="s">
        <v>1525</v>
      </c>
      <c r="H25" s="4">
        <v>7.3</v>
      </c>
      <c r="I25" s="4">
        <v>3.34</v>
      </c>
      <c r="J25" s="4">
        <v>10.64</v>
      </c>
      <c r="K25" s="4">
        <v>48</v>
      </c>
      <c r="L25" s="4">
        <v>15</v>
      </c>
      <c r="M25" s="4">
        <v>174</v>
      </c>
      <c r="N25" s="4" t="s">
        <v>1370</v>
      </c>
      <c r="O25" s="4">
        <v>1.59</v>
      </c>
      <c r="P25" s="4">
        <v>44300</v>
      </c>
      <c r="Q25" s="4">
        <v>1.38</v>
      </c>
      <c r="R25" s="4">
        <v>6.1</v>
      </c>
      <c r="S25" s="4">
        <v>10</v>
      </c>
      <c r="T25" s="4">
        <v>1</v>
      </c>
      <c r="U25" s="4">
        <v>358</v>
      </c>
      <c r="V25" s="4">
        <v>0.4</v>
      </c>
      <c r="W25" s="4">
        <v>0.59</v>
      </c>
      <c r="X25" s="4">
        <v>1590</v>
      </c>
      <c r="Y25" s="4">
        <v>0.7</v>
      </c>
      <c r="Z25">
        <f t="shared" si="4"/>
        <v>98.181818181818187</v>
      </c>
      <c r="AA25">
        <f t="shared" si="0"/>
        <v>3.2950584869719055</v>
      </c>
      <c r="AB25">
        <f t="shared" si="1"/>
        <v>4.4307787732690054</v>
      </c>
      <c r="AC25">
        <f t="shared" si="2"/>
        <v>0.37106918238993708</v>
      </c>
      <c r="AD25" t="e">
        <f t="shared" si="3"/>
        <v>#VALUE!</v>
      </c>
    </row>
    <row r="26" spans="1:33">
      <c r="A26" s="4">
        <v>48</v>
      </c>
      <c r="B26" s="4" t="s">
        <v>1359</v>
      </c>
      <c r="C26" s="4">
        <v>20</v>
      </c>
      <c r="D26" s="4">
        <v>8.6999999999999993</v>
      </c>
      <c r="E26" s="4">
        <v>6.8</v>
      </c>
      <c r="F26" s="4" t="s">
        <v>1518</v>
      </c>
      <c r="G26" s="4" t="s">
        <v>1525</v>
      </c>
      <c r="H26" s="4">
        <v>6.45</v>
      </c>
      <c r="I26" s="4">
        <v>12.73</v>
      </c>
      <c r="J26" s="4">
        <v>19.18</v>
      </c>
      <c r="K26" s="4">
        <v>45</v>
      </c>
      <c r="L26" s="4">
        <v>30</v>
      </c>
      <c r="M26" s="4">
        <v>190</v>
      </c>
      <c r="N26" s="4">
        <v>171</v>
      </c>
      <c r="O26" s="4">
        <v>5.77</v>
      </c>
      <c r="P26" s="4">
        <v>29700</v>
      </c>
      <c r="Q26" s="4">
        <v>1.58</v>
      </c>
      <c r="R26" s="4">
        <v>4.7</v>
      </c>
      <c r="S26" s="4">
        <v>27</v>
      </c>
      <c r="T26" s="4">
        <v>2.8</v>
      </c>
      <c r="U26" s="4">
        <v>358</v>
      </c>
      <c r="V26" s="4">
        <v>1</v>
      </c>
      <c r="W26" s="4">
        <v>2.13</v>
      </c>
      <c r="X26" s="4">
        <v>2060</v>
      </c>
      <c r="Y26" s="4">
        <v>0.5</v>
      </c>
      <c r="Z26">
        <f t="shared" si="4"/>
        <v>78.160919540229898</v>
      </c>
      <c r="AA26">
        <f t="shared" si="0"/>
        <v>2.9227839961866398</v>
      </c>
      <c r="AB26">
        <f t="shared" si="1"/>
        <v>15.032803940226442</v>
      </c>
      <c r="AC26">
        <f t="shared" si="2"/>
        <v>0.36915077989601386</v>
      </c>
      <c r="AD26">
        <f t="shared" si="3"/>
        <v>2.2999999999999687E-3</v>
      </c>
    </row>
    <row r="27" spans="1:33">
      <c r="A27" s="4">
        <v>61</v>
      </c>
      <c r="B27" s="4" t="s">
        <v>1382</v>
      </c>
      <c r="C27" s="4">
        <v>21</v>
      </c>
      <c r="D27" s="4">
        <v>8</v>
      </c>
      <c r="E27" s="4">
        <v>8.6</v>
      </c>
      <c r="F27" s="4" t="s">
        <v>1518</v>
      </c>
      <c r="G27" s="4" t="s">
        <v>1525</v>
      </c>
      <c r="H27" s="4">
        <v>9.3000000000000007</v>
      </c>
      <c r="I27" s="4">
        <v>10.45</v>
      </c>
      <c r="J27" s="4">
        <v>19.75</v>
      </c>
      <c r="K27" s="4">
        <v>46</v>
      </c>
      <c r="L27" s="4">
        <v>24</v>
      </c>
      <c r="M27" s="4">
        <v>198</v>
      </c>
      <c r="N27" s="4">
        <v>187</v>
      </c>
      <c r="O27" s="4">
        <v>4.7699999999999996</v>
      </c>
      <c r="P27" s="4">
        <v>28200</v>
      </c>
      <c r="Q27" s="4">
        <v>1.75</v>
      </c>
      <c r="R27" s="4">
        <v>4.9000000000000004</v>
      </c>
      <c r="S27" s="4">
        <v>23</v>
      </c>
      <c r="T27" s="4">
        <v>3.5</v>
      </c>
      <c r="U27" s="4">
        <v>339</v>
      </c>
      <c r="V27" s="4">
        <v>1.2</v>
      </c>
      <c r="W27" s="4">
        <v>1.61</v>
      </c>
      <c r="X27" s="4">
        <v>1360</v>
      </c>
      <c r="Y27" s="4">
        <v>0.7</v>
      </c>
      <c r="Z27">
        <f t="shared" si="4"/>
        <v>107.5</v>
      </c>
      <c r="AA27">
        <f t="shared" si="0"/>
        <v>3.0342111498657034</v>
      </c>
      <c r="AB27">
        <f t="shared" si="1"/>
        <v>30.978005524279258</v>
      </c>
      <c r="AC27">
        <f t="shared" si="2"/>
        <v>0.33752620545073381</v>
      </c>
      <c r="AD27">
        <f t="shared" si="3"/>
        <v>-0.14929999999999932</v>
      </c>
    </row>
    <row r="28" spans="1:33">
      <c r="A28" s="4">
        <v>67</v>
      </c>
      <c r="B28" s="4" t="s">
        <v>1385</v>
      </c>
      <c r="C28" s="4">
        <v>24</v>
      </c>
      <c r="D28" s="4">
        <v>4.8</v>
      </c>
      <c r="E28" s="4">
        <v>6.4</v>
      </c>
      <c r="F28" s="4" t="s">
        <v>1518</v>
      </c>
      <c r="G28" s="4" t="s">
        <v>1525</v>
      </c>
      <c r="H28" s="4">
        <v>6.4</v>
      </c>
      <c r="I28" s="4">
        <v>2.48</v>
      </c>
      <c r="J28" s="4">
        <v>8.8800000000000008</v>
      </c>
      <c r="K28" s="4">
        <v>35</v>
      </c>
      <c r="L28" s="4">
        <v>10</v>
      </c>
      <c r="M28" s="4">
        <v>141</v>
      </c>
      <c r="N28" s="4">
        <v>161</v>
      </c>
      <c r="O28" s="4">
        <v>0.86</v>
      </c>
      <c r="P28" s="4">
        <v>54400</v>
      </c>
      <c r="Q28" s="4">
        <v>1.08</v>
      </c>
      <c r="R28" s="4">
        <v>5.9</v>
      </c>
      <c r="S28" s="4">
        <v>5</v>
      </c>
      <c r="T28" s="4">
        <v>0.6</v>
      </c>
      <c r="U28" s="4">
        <v>423</v>
      </c>
      <c r="V28" s="4">
        <v>0.3</v>
      </c>
      <c r="W28" s="4">
        <v>0.33</v>
      </c>
      <c r="X28" s="4">
        <v>1430</v>
      </c>
      <c r="Y28" s="4">
        <v>0.9</v>
      </c>
      <c r="Z28">
        <f t="shared" si="4"/>
        <v>133.33333333333334</v>
      </c>
      <c r="AA28">
        <f t="shared" si="0"/>
        <v>3.3755466309629205</v>
      </c>
      <c r="AB28">
        <f t="shared" si="1"/>
        <v>9.1473181814797435</v>
      </c>
      <c r="AC28">
        <f t="shared" si="2"/>
        <v>0.38372093023255816</v>
      </c>
      <c r="AD28">
        <f t="shared" si="3"/>
        <v>1.3000000000001899E-3</v>
      </c>
    </row>
    <row r="29" spans="1:33">
      <c r="A29" s="4">
        <v>70</v>
      </c>
      <c r="B29" s="4" t="s">
        <v>1482</v>
      </c>
      <c r="C29" s="4">
        <v>24</v>
      </c>
      <c r="D29" s="4">
        <v>6.2</v>
      </c>
      <c r="E29" s="4">
        <v>9.4</v>
      </c>
      <c r="F29" s="4" t="s">
        <v>1518</v>
      </c>
      <c r="G29" s="4" t="s">
        <v>1525</v>
      </c>
      <c r="H29" s="4">
        <v>12.5</v>
      </c>
      <c r="I29" s="4">
        <v>3.22</v>
      </c>
      <c r="J29" s="4">
        <v>15.72</v>
      </c>
      <c r="K29" s="4">
        <v>34</v>
      </c>
      <c r="L29" s="4">
        <v>7</v>
      </c>
      <c r="M29" s="4">
        <v>162</v>
      </c>
      <c r="N29" s="4">
        <v>157</v>
      </c>
      <c r="O29" s="4">
        <v>1.08</v>
      </c>
      <c r="P29" s="4">
        <v>30000</v>
      </c>
      <c r="Q29" s="4">
        <v>1.84</v>
      </c>
      <c r="R29" s="4">
        <v>5.5</v>
      </c>
      <c r="S29" s="4">
        <v>6</v>
      </c>
      <c r="T29" s="4">
        <v>1.1000000000000001</v>
      </c>
      <c r="U29" s="4">
        <v>410</v>
      </c>
      <c r="V29" s="4">
        <v>0.5</v>
      </c>
      <c r="W29" s="4">
        <v>0.42</v>
      </c>
      <c r="X29" s="4">
        <v>980</v>
      </c>
      <c r="Y29" s="4">
        <v>1.2</v>
      </c>
      <c r="Z29">
        <f t="shared" si="4"/>
        <v>151.61290322580643</v>
      </c>
      <c r="AA29">
        <f t="shared" si="0"/>
        <v>3.3467003408282316</v>
      </c>
      <c r="AB29">
        <f t="shared" si="1"/>
        <v>36.642436763729052</v>
      </c>
      <c r="AC29">
        <f t="shared" si="2"/>
        <v>0.38888888888888884</v>
      </c>
      <c r="AD29">
        <f t="shared" si="3"/>
        <v>-5.9999999999993392E-4</v>
      </c>
    </row>
    <row r="30" spans="1:33">
      <c r="A30" s="4">
        <v>73</v>
      </c>
      <c r="B30" s="4" t="s">
        <v>1387</v>
      </c>
      <c r="C30" s="4">
        <v>24</v>
      </c>
      <c r="D30" s="4">
        <v>8.6</v>
      </c>
      <c r="E30" s="4">
        <v>11</v>
      </c>
      <c r="F30" s="4" t="s">
        <v>1518</v>
      </c>
      <c r="G30" s="4" t="s">
        <v>1525</v>
      </c>
      <c r="H30" s="4">
        <v>9.1</v>
      </c>
      <c r="I30" s="4">
        <v>4.05</v>
      </c>
      <c r="J30" s="4">
        <v>13.15</v>
      </c>
      <c r="K30" s="4">
        <v>30</v>
      </c>
      <c r="L30" s="4">
        <v>9</v>
      </c>
      <c r="M30" s="4">
        <v>168</v>
      </c>
      <c r="N30" s="4">
        <v>160</v>
      </c>
      <c r="O30" s="4">
        <v>1.22</v>
      </c>
      <c r="P30" s="4">
        <v>43900</v>
      </c>
      <c r="Q30" s="4">
        <v>1.29</v>
      </c>
      <c r="R30" s="4">
        <v>5.7</v>
      </c>
      <c r="S30" s="4">
        <v>7</v>
      </c>
      <c r="T30" s="4">
        <v>2.8</v>
      </c>
      <c r="U30" s="4">
        <v>348</v>
      </c>
      <c r="V30" s="4">
        <v>1</v>
      </c>
      <c r="W30" s="4">
        <v>0.47</v>
      </c>
      <c r="X30" s="4">
        <v>440</v>
      </c>
      <c r="Y30" s="4">
        <v>2.1</v>
      </c>
      <c r="Z30">
        <f t="shared" si="4"/>
        <v>127.90697674418605</v>
      </c>
      <c r="AA30">
        <f t="shared" si="0"/>
        <v>3.3311569578691951</v>
      </c>
      <c r="AB30">
        <f t="shared" si="1"/>
        <v>58.811153604838054</v>
      </c>
      <c r="AC30">
        <f t="shared" si="2"/>
        <v>0.38524590163934425</v>
      </c>
      <c r="AD30">
        <f t="shared" si="3"/>
        <v>2.0000000000000018E-3</v>
      </c>
    </row>
    <row r="31" spans="1:33">
      <c r="A31" s="4">
        <v>90</v>
      </c>
      <c r="B31" s="4" t="s">
        <v>1484</v>
      </c>
      <c r="C31" s="4">
        <v>28</v>
      </c>
      <c r="D31" s="4">
        <v>8.4</v>
      </c>
      <c r="E31" s="4">
        <v>11.8</v>
      </c>
      <c r="F31" s="4" t="s">
        <v>1518</v>
      </c>
      <c r="G31" s="4" t="s">
        <v>1525</v>
      </c>
      <c r="H31" s="4">
        <v>9.5</v>
      </c>
      <c r="I31" s="4">
        <v>3.67</v>
      </c>
      <c r="J31" s="4">
        <v>13.17</v>
      </c>
      <c r="K31" s="4">
        <v>39</v>
      </c>
      <c r="L31" s="4">
        <v>11</v>
      </c>
      <c r="M31" s="4">
        <v>155</v>
      </c>
      <c r="N31" s="4">
        <v>157</v>
      </c>
      <c r="O31" s="4">
        <v>1.44</v>
      </c>
      <c r="P31" s="4">
        <v>35200</v>
      </c>
      <c r="Q31" s="4">
        <v>1.77</v>
      </c>
      <c r="R31" s="4">
        <v>6.2</v>
      </c>
      <c r="S31" s="4">
        <v>9</v>
      </c>
      <c r="T31" s="4">
        <v>1.9</v>
      </c>
      <c r="U31" s="4">
        <v>390</v>
      </c>
      <c r="V31" s="4">
        <v>0.7</v>
      </c>
      <c r="W31" s="4">
        <v>0.56000000000000005</v>
      </c>
      <c r="X31" s="4">
        <v>760</v>
      </c>
      <c r="Y31" s="4">
        <v>1.2</v>
      </c>
      <c r="Z31">
        <f t="shared" si="4"/>
        <v>140.47619047619048</v>
      </c>
      <c r="AA31">
        <f t="shared" si="0"/>
        <v>3.3039347250245483</v>
      </c>
      <c r="AB31">
        <f t="shared" si="1"/>
        <v>72.183125156643698</v>
      </c>
      <c r="AC31">
        <f t="shared" si="2"/>
        <v>0.38888888888888895</v>
      </c>
      <c r="AD31">
        <f t="shared" si="3"/>
        <v>-7.9999999999968985E-4</v>
      </c>
    </row>
    <row r="32" spans="1:33">
      <c r="A32" s="4">
        <v>134</v>
      </c>
      <c r="B32" s="4" t="s">
        <v>1410</v>
      </c>
      <c r="C32" s="4">
        <v>32</v>
      </c>
      <c r="D32" s="4">
        <v>11</v>
      </c>
      <c r="E32" s="4">
        <v>15</v>
      </c>
      <c r="F32" s="4" t="s">
        <v>1518</v>
      </c>
      <c r="G32" s="4" t="s">
        <v>1525</v>
      </c>
      <c r="H32" s="4">
        <v>14.8</v>
      </c>
      <c r="I32" s="4">
        <v>9.4</v>
      </c>
      <c r="J32" s="4">
        <v>24.2</v>
      </c>
      <c r="K32" s="4">
        <v>33</v>
      </c>
      <c r="L32" s="4">
        <v>13</v>
      </c>
      <c r="M32" s="4">
        <v>171</v>
      </c>
      <c r="N32" s="4">
        <v>138</v>
      </c>
      <c r="O32" s="4">
        <v>3.1</v>
      </c>
      <c r="P32" s="4">
        <v>28400</v>
      </c>
      <c r="Q32" s="4">
        <v>1.92</v>
      </c>
      <c r="R32" s="4">
        <v>5.5</v>
      </c>
      <c r="S32" s="4">
        <v>17</v>
      </c>
      <c r="T32" s="4">
        <v>2.8</v>
      </c>
      <c r="U32" s="4">
        <v>374</v>
      </c>
      <c r="V32" s="4">
        <v>1</v>
      </c>
      <c r="W32" s="4">
        <v>1.3</v>
      </c>
      <c r="X32" s="4">
        <v>1110</v>
      </c>
      <c r="Y32" s="4">
        <v>0.8</v>
      </c>
      <c r="Z32">
        <f t="shared" si="4"/>
        <v>136.36363636363637</v>
      </c>
      <c r="AA32">
        <f t="shared" si="0"/>
        <v>3.1066000004799346</v>
      </c>
      <c r="AB32">
        <f t="shared" si="1"/>
        <v>141.45296354858388</v>
      </c>
      <c r="AC32">
        <f t="shared" si="2"/>
        <v>0.41935483870967744</v>
      </c>
      <c r="AD32">
        <f t="shared" si="3"/>
        <v>-6.0000000000002274E-3</v>
      </c>
    </row>
    <row r="33" spans="1:33">
      <c r="A33" s="4">
        <v>132</v>
      </c>
      <c r="B33" s="4" t="s">
        <v>1412</v>
      </c>
      <c r="C33" s="4">
        <v>32</v>
      </c>
      <c r="D33" s="4">
        <v>11</v>
      </c>
      <c r="E33" s="4">
        <v>15</v>
      </c>
      <c r="F33" s="4" t="s">
        <v>1518</v>
      </c>
      <c r="G33" s="4" t="s">
        <v>1525</v>
      </c>
      <c r="H33" s="4">
        <v>10.6</v>
      </c>
      <c r="I33" s="4">
        <v>8</v>
      </c>
      <c r="J33" s="4">
        <v>18.600000000000001</v>
      </c>
      <c r="K33" s="4">
        <v>39</v>
      </c>
      <c r="L33" s="4">
        <v>17</v>
      </c>
      <c r="M33" s="4">
        <v>168</v>
      </c>
      <c r="N33" s="4">
        <v>138</v>
      </c>
      <c r="O33" s="4">
        <v>3.1</v>
      </c>
      <c r="P33" s="4">
        <v>32000</v>
      </c>
      <c r="Q33" s="4">
        <v>1.85</v>
      </c>
      <c r="R33" s="4">
        <v>5.9</v>
      </c>
      <c r="S33" s="4">
        <v>18</v>
      </c>
      <c r="T33" s="4">
        <v>4.0999999999999996</v>
      </c>
      <c r="U33" s="4">
        <v>393</v>
      </c>
      <c r="V33" s="4">
        <v>1.6</v>
      </c>
      <c r="W33" s="4">
        <v>1.3</v>
      </c>
      <c r="X33" s="4">
        <v>760</v>
      </c>
      <c r="Y33" s="4">
        <v>1.2</v>
      </c>
      <c r="Z33">
        <f t="shared" si="4"/>
        <v>136.36363636363637</v>
      </c>
      <c r="AA33">
        <f t="shared" si="0"/>
        <v>3.1066000004799346</v>
      </c>
      <c r="AB33">
        <f t="shared" si="1"/>
        <v>141.45296354858388</v>
      </c>
      <c r="AC33">
        <f t="shared" si="2"/>
        <v>0.41935483870967744</v>
      </c>
      <c r="AD33">
        <f t="shared" si="3"/>
        <v>-6.0000000000002274E-3</v>
      </c>
    </row>
    <row r="34" spans="1:33">
      <c r="A34" s="4">
        <v>160</v>
      </c>
      <c r="B34" s="6" t="s">
        <v>1429</v>
      </c>
      <c r="C34" s="4">
        <v>60</v>
      </c>
      <c r="D34" s="4">
        <v>22</v>
      </c>
      <c r="E34" s="4">
        <v>25</v>
      </c>
      <c r="F34" s="4" t="s">
        <v>1518</v>
      </c>
      <c r="G34" s="4" t="s">
        <v>1525</v>
      </c>
      <c r="H34" s="4">
        <v>5.4</v>
      </c>
      <c r="I34" s="4">
        <v>21.2</v>
      </c>
      <c r="J34" s="4">
        <v>26.6</v>
      </c>
      <c r="K34" s="4">
        <v>32</v>
      </c>
      <c r="L34" s="4">
        <v>26</v>
      </c>
      <c r="M34" s="4">
        <v>144</v>
      </c>
      <c r="N34" s="4">
        <v>143</v>
      </c>
      <c r="O34" s="4">
        <v>6.8</v>
      </c>
      <c r="P34" s="4">
        <v>30100</v>
      </c>
      <c r="Q34" s="4">
        <v>2</v>
      </c>
      <c r="R34" s="4">
        <v>6</v>
      </c>
      <c r="S34" s="4">
        <v>41</v>
      </c>
      <c r="T34" s="4">
        <v>7.6</v>
      </c>
      <c r="U34" s="4">
        <v>414</v>
      </c>
      <c r="V34" s="4">
        <v>3.1</v>
      </c>
      <c r="W34" s="4">
        <v>2.8</v>
      </c>
      <c r="X34" s="4">
        <v>890</v>
      </c>
      <c r="Y34" s="4">
        <v>1.1000000000000001</v>
      </c>
      <c r="Z34">
        <f t="shared" si="4"/>
        <v>113.63636363636364</v>
      </c>
      <c r="AA34">
        <f t="shared" si="0"/>
        <v>2.794176564725452</v>
      </c>
      <c r="AB34">
        <f t="shared" si="1"/>
        <v>493.09859443858841</v>
      </c>
      <c r="AC34">
        <f t="shared" si="2"/>
        <v>0.41176470588235292</v>
      </c>
      <c r="AD34">
        <f t="shared" si="3"/>
        <v>3.9999999999986713E-3</v>
      </c>
    </row>
    <row r="35" spans="1:33">
      <c r="A35" s="4">
        <v>190</v>
      </c>
      <c r="B35" s="6" t="s">
        <v>1444</v>
      </c>
      <c r="C35" s="4">
        <v>83</v>
      </c>
      <c r="D35" s="4">
        <v>28</v>
      </c>
      <c r="E35" s="4">
        <v>28</v>
      </c>
      <c r="F35" s="4" t="s">
        <v>1518</v>
      </c>
      <c r="G35" s="4" t="s">
        <v>1525</v>
      </c>
      <c r="H35" s="4">
        <v>6.4</v>
      </c>
      <c r="I35" s="4">
        <v>32.700000000000003</v>
      </c>
      <c r="J35" s="4">
        <v>39.1</v>
      </c>
      <c r="K35" s="4">
        <v>28</v>
      </c>
      <c r="L35" s="4">
        <v>24</v>
      </c>
      <c r="M35" s="4">
        <v>116</v>
      </c>
      <c r="N35" s="4">
        <v>121</v>
      </c>
      <c r="O35" s="4">
        <v>9.3000000000000007</v>
      </c>
      <c r="P35" s="4">
        <v>37000</v>
      </c>
      <c r="Q35" s="4">
        <v>1.43</v>
      </c>
      <c r="R35" s="4">
        <v>5.3</v>
      </c>
      <c r="S35" s="4">
        <v>49</v>
      </c>
      <c r="T35" s="4">
        <v>5.4</v>
      </c>
      <c r="U35" s="4">
        <v>519</v>
      </c>
      <c r="V35" s="4">
        <v>2.8</v>
      </c>
      <c r="W35" s="4">
        <v>4.2</v>
      </c>
      <c r="X35" s="4">
        <v>1720</v>
      </c>
      <c r="Y35" s="4">
        <v>0.7</v>
      </c>
      <c r="Z35">
        <f t="shared" si="4"/>
        <v>100</v>
      </c>
      <c r="AA35">
        <f t="shared" si="0"/>
        <v>2.5662614939097708</v>
      </c>
      <c r="AB35">
        <f t="shared" si="1"/>
        <v>646.87505439617689</v>
      </c>
      <c r="AC35">
        <f t="shared" si="2"/>
        <v>0.45161290322580644</v>
      </c>
      <c r="AD35">
        <f t="shared" si="3"/>
        <v>-1.8000000000000682E-2</v>
      </c>
    </row>
    <row r="36" spans="1:33">
      <c r="A36" s="4">
        <v>199</v>
      </c>
      <c r="B36" s="6" t="s">
        <v>1447</v>
      </c>
      <c r="C36" s="4">
        <v>86</v>
      </c>
      <c r="D36" s="4">
        <v>22</v>
      </c>
      <c r="E36" s="4">
        <v>27</v>
      </c>
      <c r="F36" s="4" t="s">
        <v>1518</v>
      </c>
      <c r="G36" s="4" t="s">
        <v>1525</v>
      </c>
      <c r="H36" s="4">
        <v>4.2</v>
      </c>
      <c r="I36" s="4">
        <v>23.9</v>
      </c>
      <c r="J36" s="4">
        <v>28.1</v>
      </c>
      <c r="K36" s="4">
        <v>28</v>
      </c>
      <c r="L36" s="4">
        <v>24</v>
      </c>
      <c r="M36" s="4">
        <v>121</v>
      </c>
      <c r="N36" s="4">
        <v>143</v>
      </c>
      <c r="O36" s="4">
        <v>6.8</v>
      </c>
      <c r="P36" s="4">
        <v>37600</v>
      </c>
      <c r="Q36" s="4">
        <v>1.56</v>
      </c>
      <c r="R36" s="4">
        <v>5.9</v>
      </c>
      <c r="S36" s="4">
        <v>40</v>
      </c>
      <c r="T36" s="4">
        <v>5.0999999999999996</v>
      </c>
      <c r="U36" s="4">
        <v>479</v>
      </c>
      <c r="V36" s="4">
        <v>2.4</v>
      </c>
      <c r="W36" s="4">
        <v>2.8</v>
      </c>
      <c r="X36" s="4">
        <v>1330</v>
      </c>
      <c r="Y36" s="4">
        <v>0.9</v>
      </c>
      <c r="Z36">
        <f t="shared" si="4"/>
        <v>122.72727272727273</v>
      </c>
      <c r="AA36">
        <f t="shared" si="0"/>
        <v>2.794176564725452</v>
      </c>
      <c r="AB36">
        <f t="shared" si="1"/>
        <v>585.92188817968656</v>
      </c>
      <c r="AC36">
        <f t="shared" si="2"/>
        <v>0.41176470588235292</v>
      </c>
      <c r="AD36">
        <f t="shared" si="3"/>
        <v>3.9999999999986713E-3</v>
      </c>
    </row>
    <row r="37" spans="1:33">
      <c r="A37" s="4">
        <v>31</v>
      </c>
      <c r="B37" s="4" t="s">
        <v>1367</v>
      </c>
      <c r="C37" s="4">
        <v>20</v>
      </c>
      <c r="D37" s="4">
        <v>7.7</v>
      </c>
      <c r="E37" s="4">
        <v>7.6</v>
      </c>
      <c r="F37" s="4" t="s">
        <v>1518</v>
      </c>
      <c r="G37" s="4" t="s">
        <v>1527</v>
      </c>
      <c r="H37" s="4">
        <v>9.3000000000000007</v>
      </c>
      <c r="I37" s="4">
        <v>8.48</v>
      </c>
      <c r="J37" s="4">
        <v>17.78</v>
      </c>
      <c r="K37" s="4">
        <v>46</v>
      </c>
      <c r="L37" s="4">
        <v>22</v>
      </c>
      <c r="M37" s="4">
        <v>180</v>
      </c>
      <c r="N37" s="4">
        <v>163</v>
      </c>
      <c r="O37" s="4">
        <v>3.89</v>
      </c>
      <c r="P37" s="4">
        <v>36200</v>
      </c>
      <c r="Q37" s="4">
        <v>1.58</v>
      </c>
      <c r="R37" s="4">
        <v>5.7</v>
      </c>
      <c r="S37" s="4">
        <v>22</v>
      </c>
      <c r="T37" s="4">
        <v>2.2000000000000002</v>
      </c>
      <c r="U37" s="4">
        <v>352</v>
      </c>
      <c r="V37" s="4">
        <v>0.8</v>
      </c>
      <c r="W37" s="4">
        <v>1.49</v>
      </c>
      <c r="X37" s="4">
        <v>1770</v>
      </c>
      <c r="Y37" s="4">
        <v>0.5</v>
      </c>
      <c r="Z37">
        <f t="shared" si="4"/>
        <v>98.701298701298697</v>
      </c>
      <c r="AA37">
        <f t="shared" si="0"/>
        <v>3.0616480818880669</v>
      </c>
      <c r="AB37">
        <f t="shared" si="1"/>
        <v>20.596638132630257</v>
      </c>
      <c r="AC37">
        <f t="shared" si="2"/>
        <v>0.38303341902313626</v>
      </c>
      <c r="AD37">
        <f t="shared" si="3"/>
        <v>2.8699999999999726E-2</v>
      </c>
      <c r="AF37">
        <v>27</v>
      </c>
      <c r="AG37">
        <f>$AA$3*AF37/($AA$4+AF37^$AA$5)</f>
        <v>32.122072283089331</v>
      </c>
    </row>
    <row r="38" spans="1:33">
      <c r="A38" s="4">
        <v>55</v>
      </c>
      <c r="B38" s="4" t="s">
        <v>1360</v>
      </c>
      <c r="C38" s="4">
        <v>21</v>
      </c>
      <c r="D38" s="4">
        <v>5.9</v>
      </c>
      <c r="E38" s="4">
        <v>7.2</v>
      </c>
      <c r="F38" s="4" t="s">
        <v>1518</v>
      </c>
      <c r="G38" s="4" t="s">
        <v>1527</v>
      </c>
      <c r="H38" s="4">
        <v>11.3</v>
      </c>
      <c r="I38" s="4">
        <v>4.5</v>
      </c>
      <c r="J38" s="4">
        <v>15.8</v>
      </c>
      <c r="K38" s="4">
        <v>56</v>
      </c>
      <c r="L38" s="4">
        <v>16</v>
      </c>
      <c r="M38" s="4">
        <v>179</v>
      </c>
      <c r="N38" s="4">
        <v>169</v>
      </c>
      <c r="O38" s="4">
        <v>2.5</v>
      </c>
      <c r="P38" s="4">
        <v>24600</v>
      </c>
      <c r="Q38" s="4">
        <v>2.1800000000000002</v>
      </c>
      <c r="R38" s="4">
        <v>5.4</v>
      </c>
      <c r="S38" s="4">
        <v>13</v>
      </c>
      <c r="T38" s="4">
        <v>1.1000000000000001</v>
      </c>
      <c r="U38" s="4">
        <v>367</v>
      </c>
      <c r="V38" s="4">
        <v>0.4</v>
      </c>
      <c r="W38" s="4">
        <v>0.93</v>
      </c>
      <c r="X38" s="4">
        <v>2270</v>
      </c>
      <c r="Y38" s="4">
        <v>0.4</v>
      </c>
      <c r="Z38">
        <f t="shared" si="4"/>
        <v>122.03389830508473</v>
      </c>
      <c r="AA38">
        <f t="shared" si="0"/>
        <v>3.2002125312618346</v>
      </c>
      <c r="AB38">
        <f t="shared" si="1"/>
        <v>15.998299795074862</v>
      </c>
      <c r="AC38">
        <f t="shared" si="2"/>
        <v>0.372</v>
      </c>
      <c r="AD38">
        <f t="shared" si="3"/>
        <v>1.7000000000000348E-3</v>
      </c>
    </row>
    <row r="39" spans="1:33">
      <c r="A39" s="4">
        <v>57</v>
      </c>
      <c r="B39" s="4" t="s">
        <v>1342</v>
      </c>
      <c r="C39" s="4">
        <v>21</v>
      </c>
      <c r="D39" s="4">
        <v>8</v>
      </c>
      <c r="E39" s="4">
        <v>8.5</v>
      </c>
      <c r="F39" s="4" t="s">
        <v>1518</v>
      </c>
      <c r="G39" s="4" t="s">
        <v>1527</v>
      </c>
      <c r="H39" s="4">
        <v>9.5</v>
      </c>
      <c r="I39" s="4">
        <v>8.8000000000000007</v>
      </c>
      <c r="J39" s="4">
        <v>18.3</v>
      </c>
      <c r="K39" s="4">
        <v>50</v>
      </c>
      <c r="L39" s="4">
        <v>24</v>
      </c>
      <c r="M39" s="4">
        <v>182</v>
      </c>
      <c r="N39" s="4">
        <v>178</v>
      </c>
      <c r="O39" s="4">
        <v>4.3600000000000003</v>
      </c>
      <c r="P39" s="4">
        <v>21600</v>
      </c>
      <c r="Q39" s="4">
        <v>2.5099999999999998</v>
      </c>
      <c r="R39" s="4">
        <v>5.4</v>
      </c>
      <c r="S39" s="4">
        <v>24</v>
      </c>
      <c r="T39" s="4">
        <v>2.2999999999999998</v>
      </c>
      <c r="U39" s="4">
        <v>348</v>
      </c>
      <c r="V39" s="4">
        <v>0.8</v>
      </c>
      <c r="W39" s="4">
        <v>1.57</v>
      </c>
      <c r="X39" s="4">
        <v>1900</v>
      </c>
      <c r="Y39" s="4">
        <v>0.5</v>
      </c>
      <c r="Z39">
        <f t="shared" si="4"/>
        <v>106.25</v>
      </c>
      <c r="AA39">
        <f t="shared" si="0"/>
        <v>3.0432785652371823</v>
      </c>
      <c r="AB39">
        <f t="shared" si="1"/>
        <v>29.775808816599984</v>
      </c>
      <c r="AC39">
        <f t="shared" si="2"/>
        <v>0.36009174311926606</v>
      </c>
      <c r="AD39">
        <f t="shared" si="3"/>
        <v>4.5999999999999375E-3</v>
      </c>
    </row>
    <row r="40" spans="1:33">
      <c r="A40" s="4">
        <v>58</v>
      </c>
      <c r="B40" s="4" t="s">
        <v>1380</v>
      </c>
      <c r="C40" s="4">
        <v>21</v>
      </c>
      <c r="D40" s="4">
        <v>8.4</v>
      </c>
      <c r="E40" s="4">
        <v>7.9</v>
      </c>
      <c r="F40" s="4" t="s">
        <v>1518</v>
      </c>
      <c r="G40" s="4" t="s">
        <v>1527</v>
      </c>
      <c r="H40" s="4">
        <v>8.9</v>
      </c>
      <c r="I40" s="4">
        <v>8.5</v>
      </c>
      <c r="J40" s="4">
        <v>17.399999999999999</v>
      </c>
      <c r="K40" s="4">
        <v>45</v>
      </c>
      <c r="L40" s="4">
        <v>22</v>
      </c>
      <c r="M40" s="4">
        <v>197</v>
      </c>
      <c r="N40" s="4">
        <v>185</v>
      </c>
      <c r="O40" s="4">
        <v>3.82</v>
      </c>
      <c r="P40" s="4">
        <v>36000</v>
      </c>
      <c r="Q40" s="4">
        <v>1.31</v>
      </c>
      <c r="R40" s="4">
        <v>4.7</v>
      </c>
      <c r="S40" s="4">
        <v>18</v>
      </c>
      <c r="T40" s="4">
        <v>1.9</v>
      </c>
      <c r="U40" s="4">
        <v>318</v>
      </c>
      <c r="V40" s="4">
        <v>0.6</v>
      </c>
      <c r="W40" s="4">
        <v>1.34</v>
      </c>
      <c r="X40" s="4">
        <v>2010</v>
      </c>
      <c r="Y40" s="4">
        <v>0.4</v>
      </c>
      <c r="Z40">
        <f t="shared" si="4"/>
        <v>94.047619047619037</v>
      </c>
      <c r="AA40">
        <f t="shared" si="0"/>
        <v>3.0969749741727526</v>
      </c>
      <c r="AB40">
        <f t="shared" si="1"/>
        <v>23.069049398722836</v>
      </c>
      <c r="AC40">
        <f t="shared" si="2"/>
        <v>0.35078534031413616</v>
      </c>
      <c r="AD40">
        <f t="shared" si="3"/>
        <v>-9.9999999999944578E-4</v>
      </c>
    </row>
    <row r="41" spans="1:33">
      <c r="A41" s="4">
        <v>59</v>
      </c>
      <c r="B41" s="4" t="s">
        <v>1381</v>
      </c>
      <c r="C41" s="4">
        <v>21</v>
      </c>
      <c r="D41" s="4">
        <v>6.3</v>
      </c>
      <c r="E41" s="4">
        <v>7.8</v>
      </c>
      <c r="F41" s="4" t="s">
        <v>1518</v>
      </c>
      <c r="G41" s="4" t="s">
        <v>1527</v>
      </c>
      <c r="H41" s="4">
        <v>11.7</v>
      </c>
      <c r="I41" s="4">
        <v>6.95</v>
      </c>
      <c r="J41" s="4">
        <v>18.649999999999999</v>
      </c>
      <c r="K41" s="4">
        <v>41</v>
      </c>
      <c r="L41" s="4">
        <v>15</v>
      </c>
      <c r="M41" s="4">
        <v>165</v>
      </c>
      <c r="N41" s="4">
        <v>180</v>
      </c>
      <c r="O41" s="4">
        <v>2.86</v>
      </c>
      <c r="P41" s="4">
        <v>31600</v>
      </c>
      <c r="Q41" s="4">
        <v>1.63</v>
      </c>
      <c r="R41" s="4">
        <v>5.2</v>
      </c>
      <c r="S41" s="4">
        <v>15</v>
      </c>
      <c r="T41" s="4">
        <v>1.3</v>
      </c>
      <c r="U41" s="4">
        <v>390</v>
      </c>
      <c r="V41" s="4">
        <v>0.5</v>
      </c>
      <c r="W41" s="4">
        <v>1.02</v>
      </c>
      <c r="X41" s="4">
        <v>2200</v>
      </c>
      <c r="Y41" s="4">
        <v>0.5</v>
      </c>
      <c r="Z41">
        <f t="shared" si="4"/>
        <v>123.80952380952381</v>
      </c>
      <c r="AA41">
        <f t="shared" si="0"/>
        <v>3.1766252281982683</v>
      </c>
      <c r="AB41">
        <f t="shared" si="1"/>
        <v>21.375594280532717</v>
      </c>
      <c r="AC41">
        <f t="shared" si="2"/>
        <v>0.35664335664335667</v>
      </c>
      <c r="AD41">
        <f t="shared" si="3"/>
        <v>-4.0000000000000036E-3</v>
      </c>
    </row>
    <row r="42" spans="1:33">
      <c r="A42" s="4">
        <v>78</v>
      </c>
      <c r="B42" s="4" t="s">
        <v>1389</v>
      </c>
      <c r="C42" s="4">
        <v>25</v>
      </c>
      <c r="D42" s="4">
        <v>7.2</v>
      </c>
      <c r="E42" s="4">
        <v>9.1</v>
      </c>
      <c r="F42" s="4" t="s">
        <v>1518</v>
      </c>
      <c r="G42" s="4" t="s">
        <v>1527</v>
      </c>
      <c r="H42" s="4">
        <v>10.95</v>
      </c>
      <c r="I42" s="4">
        <v>5.05</v>
      </c>
      <c r="J42" s="4">
        <v>16</v>
      </c>
      <c r="K42" s="4">
        <v>43</v>
      </c>
      <c r="L42" s="4">
        <v>14</v>
      </c>
      <c r="M42" s="4">
        <v>128</v>
      </c>
      <c r="N42" s="4">
        <v>143</v>
      </c>
      <c r="O42" s="4">
        <v>2.19</v>
      </c>
      <c r="P42" s="4">
        <v>50000</v>
      </c>
      <c r="Q42" s="4">
        <v>1.32</v>
      </c>
      <c r="R42" s="4">
        <v>6.6</v>
      </c>
      <c r="S42" s="4">
        <v>14</v>
      </c>
      <c r="T42" s="4">
        <v>1.1000000000000001</v>
      </c>
      <c r="U42" s="4">
        <v>432</v>
      </c>
      <c r="V42" s="4">
        <v>0.5</v>
      </c>
      <c r="W42" s="4">
        <v>0.9</v>
      </c>
      <c r="X42" s="4">
        <v>1990</v>
      </c>
      <c r="Y42" s="4">
        <v>0.6</v>
      </c>
      <c r="Z42">
        <f t="shared" si="4"/>
        <v>126.38888888888889</v>
      </c>
      <c r="AA42">
        <f t="shared" si="0"/>
        <v>3.2082034455564776</v>
      </c>
      <c r="AB42">
        <f t="shared" si="1"/>
        <v>34.713266638952554</v>
      </c>
      <c r="AC42">
        <f t="shared" si="2"/>
        <v>0.41095890410958907</v>
      </c>
      <c r="AD42">
        <f t="shared" si="3"/>
        <v>-3.0000000000001137E-3</v>
      </c>
    </row>
    <row r="43" spans="1:33">
      <c r="A43" s="4">
        <v>83</v>
      </c>
      <c r="B43" s="7"/>
      <c r="C43" s="4">
        <v>26</v>
      </c>
      <c r="D43" s="4">
        <v>9.1999999999999993</v>
      </c>
      <c r="E43" s="4">
        <v>9</v>
      </c>
      <c r="F43" s="4" t="s">
        <v>1518</v>
      </c>
      <c r="G43" s="4" t="s">
        <v>1527</v>
      </c>
      <c r="H43" s="4">
        <v>8.1</v>
      </c>
      <c r="I43" s="4">
        <v>4.4000000000000004</v>
      </c>
      <c r="J43" s="4">
        <v>12.5</v>
      </c>
      <c r="K43" s="4">
        <v>32</v>
      </c>
      <c r="L43" s="4">
        <v>11</v>
      </c>
      <c r="M43" s="4">
        <v>145</v>
      </c>
      <c r="N43" s="4">
        <v>132</v>
      </c>
      <c r="O43" s="4">
        <v>1.4</v>
      </c>
      <c r="P43" s="4">
        <v>53000</v>
      </c>
      <c r="Q43" s="4">
        <v>1.0900000000000001</v>
      </c>
      <c r="R43" s="4">
        <v>5.8</v>
      </c>
      <c r="S43" s="9">
        <v>8</v>
      </c>
      <c r="T43" s="4">
        <v>1.7</v>
      </c>
      <c r="U43" s="4">
        <v>443</v>
      </c>
      <c r="V43" s="4">
        <v>0.8</v>
      </c>
      <c r="W43" s="4">
        <v>0.62</v>
      </c>
      <c r="X43" s="4">
        <v>820</v>
      </c>
      <c r="Y43" s="4">
        <v>0.7</v>
      </c>
      <c r="Z43">
        <f t="shared" si="4"/>
        <v>97.826086956521749</v>
      </c>
      <c r="AA43">
        <f t="shared" si="0"/>
        <v>3.2862744927525833</v>
      </c>
      <c r="AB43">
        <f t="shared" si="1"/>
        <v>32.646659172169748</v>
      </c>
      <c r="AC43">
        <f t="shared" si="2"/>
        <v>0.44285714285714289</v>
      </c>
      <c r="AD43">
        <f t="shared" si="3"/>
        <v>3.8400000000000212E-2</v>
      </c>
    </row>
    <row r="44" spans="1:33">
      <c r="A44" s="4">
        <v>93</v>
      </c>
      <c r="B44" s="4" t="s">
        <v>1396</v>
      </c>
      <c r="C44" s="4">
        <v>28</v>
      </c>
      <c r="D44" s="4">
        <v>11.2</v>
      </c>
      <c r="E44" s="4">
        <v>13.4</v>
      </c>
      <c r="F44" s="4" t="s">
        <v>1518</v>
      </c>
      <c r="G44" s="4" t="s">
        <v>1527</v>
      </c>
      <c r="H44" s="4">
        <v>11.3</v>
      </c>
      <c r="I44" s="4">
        <v>7.63</v>
      </c>
      <c r="J44" s="4">
        <v>18.93</v>
      </c>
      <c r="K44" s="4">
        <v>23</v>
      </c>
      <c r="L44" s="4">
        <v>9</v>
      </c>
      <c r="M44" s="4">
        <v>166</v>
      </c>
      <c r="N44" s="4">
        <v>170</v>
      </c>
      <c r="O44" s="4">
        <v>1.73</v>
      </c>
      <c r="P44" s="4">
        <v>42200</v>
      </c>
      <c r="Q44" s="4">
        <v>1.46</v>
      </c>
      <c r="R44" s="4">
        <v>6.2</v>
      </c>
      <c r="S44" s="4">
        <v>11</v>
      </c>
      <c r="T44" s="4">
        <v>2.6</v>
      </c>
      <c r="U44" s="4">
        <v>372</v>
      </c>
      <c r="V44" s="4">
        <v>1</v>
      </c>
      <c r="W44" s="4">
        <v>0.64</v>
      </c>
      <c r="X44" s="4">
        <v>670</v>
      </c>
      <c r="Y44" s="4">
        <v>1.6</v>
      </c>
      <c r="Z44">
        <f t="shared" si="4"/>
        <v>119.64285714285715</v>
      </c>
      <c r="AA44">
        <f t="shared" si="0"/>
        <v>3.2804680244855637</v>
      </c>
      <c r="AB44">
        <f t="shared" si="1"/>
        <v>102.40492740345914</v>
      </c>
      <c r="AC44">
        <f t="shared" si="2"/>
        <v>0.36994219653179194</v>
      </c>
      <c r="AD44">
        <f t="shared" si="3"/>
        <v>-1.9999999999997797E-3</v>
      </c>
    </row>
    <row r="45" spans="1:33">
      <c r="A45" s="4">
        <v>96</v>
      </c>
      <c r="B45" s="6" t="s">
        <v>1397</v>
      </c>
      <c r="C45" s="4">
        <v>32</v>
      </c>
      <c r="D45" s="4">
        <v>9</v>
      </c>
      <c r="E45" s="4">
        <v>9</v>
      </c>
      <c r="F45" s="4" t="s">
        <v>1518</v>
      </c>
      <c r="G45" s="4" t="s">
        <v>1527</v>
      </c>
      <c r="H45" s="4">
        <v>7.8</v>
      </c>
      <c r="I45" s="4">
        <v>9</v>
      </c>
      <c r="J45" s="4">
        <v>16.8</v>
      </c>
      <c r="K45" s="4">
        <v>40</v>
      </c>
      <c r="L45" s="4">
        <v>21</v>
      </c>
      <c r="M45" s="4">
        <v>163</v>
      </c>
      <c r="N45" s="4">
        <v>157</v>
      </c>
      <c r="O45" s="4">
        <v>3.6</v>
      </c>
      <c r="P45" s="4">
        <v>60000</v>
      </c>
      <c r="Q45" s="4">
        <v>1.1100000000000001</v>
      </c>
      <c r="R45" s="4">
        <v>6.7</v>
      </c>
      <c r="S45" s="4">
        <v>24</v>
      </c>
      <c r="T45" s="4">
        <v>2</v>
      </c>
      <c r="U45" s="4">
        <v>378</v>
      </c>
      <c r="V45" s="4">
        <v>0.8</v>
      </c>
      <c r="W45" s="4">
        <v>1.4</v>
      </c>
      <c r="X45" s="4">
        <v>1800</v>
      </c>
      <c r="Y45" s="4">
        <v>0.6</v>
      </c>
      <c r="Z45">
        <f t="shared" si="4"/>
        <v>100</v>
      </c>
      <c r="AA45">
        <f t="shared" si="0"/>
        <v>3.0827015996667404</v>
      </c>
      <c r="AB45">
        <f t="shared" si="1"/>
        <v>35.014420358586555</v>
      </c>
      <c r="AC45">
        <f t="shared" si="2"/>
        <v>0.38888888888888884</v>
      </c>
      <c r="AD45">
        <f t="shared" si="3"/>
        <v>-1.9999999999997797E-3</v>
      </c>
    </row>
    <row r="46" spans="1:33">
      <c r="A46" s="4">
        <v>100</v>
      </c>
      <c r="B46" s="4" t="s">
        <v>1400</v>
      </c>
      <c r="C46" s="4">
        <v>32</v>
      </c>
      <c r="D46" s="4">
        <v>12</v>
      </c>
      <c r="E46" s="4">
        <v>11</v>
      </c>
      <c r="F46" s="4" t="s">
        <v>1518</v>
      </c>
      <c r="G46" s="4" t="s">
        <v>1527</v>
      </c>
      <c r="H46" s="4">
        <v>4.2</v>
      </c>
      <c r="I46" s="4">
        <v>11.4</v>
      </c>
      <c r="J46" s="4">
        <v>15.6</v>
      </c>
      <c r="K46" s="4">
        <v>38</v>
      </c>
      <c r="L46" s="4">
        <v>28</v>
      </c>
      <c r="M46" s="4">
        <v>156</v>
      </c>
      <c r="N46" s="4">
        <v>153</v>
      </c>
      <c r="O46" s="4">
        <v>4.3</v>
      </c>
      <c r="P46" s="4">
        <v>39000</v>
      </c>
      <c r="Q46" s="4">
        <v>1.45</v>
      </c>
      <c r="R46" s="4">
        <v>5.7</v>
      </c>
      <c r="S46" s="4">
        <v>25</v>
      </c>
      <c r="T46" s="4">
        <v>2.6</v>
      </c>
      <c r="U46" s="4">
        <v>362</v>
      </c>
      <c r="V46" s="4">
        <v>0.9</v>
      </c>
      <c r="W46" s="4">
        <v>1.7</v>
      </c>
      <c r="X46" s="4">
        <v>1650</v>
      </c>
      <c r="Y46" s="4">
        <v>0.5</v>
      </c>
      <c r="Z46">
        <f t="shared" si="4"/>
        <v>91.666666666666671</v>
      </c>
      <c r="AA46">
        <f t="shared" si="0"/>
        <v>3.0140857523835849</v>
      </c>
      <c r="AB46">
        <f t="shared" si="1"/>
        <v>63.77482637028286</v>
      </c>
      <c r="AC46">
        <f t="shared" si="2"/>
        <v>0.39534883720930231</v>
      </c>
      <c r="AD46">
        <f t="shared" si="3"/>
        <v>1.000000000000334E-3</v>
      </c>
    </row>
    <row r="47" spans="1:33">
      <c r="A47" s="4">
        <v>128</v>
      </c>
      <c r="B47" s="4" t="s">
        <v>1411</v>
      </c>
      <c r="C47" s="4">
        <v>32</v>
      </c>
      <c r="D47" s="4">
        <v>13</v>
      </c>
      <c r="E47" s="4">
        <v>15</v>
      </c>
      <c r="F47" s="4" t="s">
        <v>1518</v>
      </c>
      <c r="G47" s="4" t="s">
        <v>1527</v>
      </c>
      <c r="H47" s="4">
        <v>9</v>
      </c>
      <c r="I47" s="4">
        <v>13.4</v>
      </c>
      <c r="J47" s="4">
        <v>22.4</v>
      </c>
      <c r="K47" s="4">
        <v>26</v>
      </c>
      <c r="L47" s="4">
        <v>16</v>
      </c>
      <c r="M47" s="4">
        <v>161</v>
      </c>
      <c r="N47" s="4">
        <v>150</v>
      </c>
      <c r="O47" s="4">
        <v>3.5</v>
      </c>
      <c r="P47" s="4">
        <v>30000</v>
      </c>
      <c r="Q47" s="4">
        <v>1.78</v>
      </c>
      <c r="R47" s="4">
        <v>5.3</v>
      </c>
      <c r="S47" s="4">
        <v>19</v>
      </c>
      <c r="T47" s="4">
        <v>4.0999999999999996</v>
      </c>
      <c r="U47" s="4">
        <v>441</v>
      </c>
      <c r="V47" s="4">
        <v>1.8</v>
      </c>
      <c r="W47" s="4">
        <v>1.4</v>
      </c>
      <c r="X47" s="4">
        <v>850</v>
      </c>
      <c r="Y47" s="4">
        <v>1.3</v>
      </c>
      <c r="Z47">
        <f t="shared" si="4"/>
        <v>115.38461538461539</v>
      </c>
      <c r="AA47">
        <f t="shared" si="0"/>
        <v>3.0827015996667404</v>
      </c>
      <c r="AB47">
        <f t="shared" si="1"/>
        <v>142.02200116258564</v>
      </c>
      <c r="AC47">
        <f t="shared" si="2"/>
        <v>0.39999999999999997</v>
      </c>
      <c r="AD47">
        <f t="shared" si="3"/>
        <v>0</v>
      </c>
    </row>
    <row r="48" spans="1:33">
      <c r="A48" s="4">
        <v>163</v>
      </c>
      <c r="B48" s="6" t="s">
        <v>1431</v>
      </c>
      <c r="C48" s="4">
        <v>65</v>
      </c>
      <c r="D48" s="4">
        <v>18</v>
      </c>
      <c r="E48" s="4">
        <v>21</v>
      </c>
      <c r="F48" s="4" t="s">
        <v>1518</v>
      </c>
      <c r="G48" s="4" t="s">
        <v>1527</v>
      </c>
      <c r="H48" s="4">
        <v>5.8</v>
      </c>
      <c r="I48" s="4">
        <v>18.7</v>
      </c>
      <c r="J48" s="4">
        <v>24.5</v>
      </c>
      <c r="K48" s="4">
        <v>31</v>
      </c>
      <c r="L48" s="4">
        <v>24</v>
      </c>
      <c r="M48" s="4">
        <v>141</v>
      </c>
      <c r="N48" s="4">
        <v>164</v>
      </c>
      <c r="O48" s="4">
        <v>5.8</v>
      </c>
      <c r="P48" s="4">
        <v>48300</v>
      </c>
      <c r="Q48" s="4">
        <v>1.19</v>
      </c>
      <c r="R48" s="4">
        <v>5.7</v>
      </c>
      <c r="S48" s="4">
        <v>33</v>
      </c>
      <c r="T48" s="4">
        <v>3.3</v>
      </c>
      <c r="U48" s="4">
        <v>437</v>
      </c>
      <c r="V48" s="4">
        <v>1.4</v>
      </c>
      <c r="W48" s="4">
        <v>2.2000000000000002</v>
      </c>
      <c r="X48" s="4">
        <v>1760</v>
      </c>
      <c r="Y48" s="4">
        <v>0.6</v>
      </c>
      <c r="Z48">
        <f t="shared" si="4"/>
        <v>116.66666666666667</v>
      </c>
      <c r="AA48">
        <f t="shared" si="0"/>
        <v>2.9086191333511331</v>
      </c>
      <c r="AB48">
        <f t="shared" si="1"/>
        <v>327.29806166214865</v>
      </c>
      <c r="AC48">
        <f t="shared" si="2"/>
        <v>0.37931034482758624</v>
      </c>
      <c r="AD48">
        <f t="shared" si="3"/>
        <v>8.0000000000000071E-3</v>
      </c>
    </row>
    <row r="49" spans="1:33">
      <c r="A49" s="4">
        <v>29</v>
      </c>
      <c r="B49" s="4" t="s">
        <v>1365</v>
      </c>
      <c r="C49" s="4">
        <v>20</v>
      </c>
      <c r="D49" s="4">
        <v>11.4</v>
      </c>
      <c r="E49" s="4">
        <v>7.2</v>
      </c>
      <c r="F49" s="4" t="s">
        <v>1519</v>
      </c>
      <c r="G49" s="4" t="s">
        <v>1529</v>
      </c>
      <c r="H49" s="4">
        <v>5.9</v>
      </c>
      <c r="I49" s="4">
        <v>29.82</v>
      </c>
      <c r="J49" s="4">
        <v>35.72</v>
      </c>
      <c r="K49" s="4">
        <v>39</v>
      </c>
      <c r="L49" s="4">
        <v>33</v>
      </c>
      <c r="M49" s="4">
        <v>176</v>
      </c>
      <c r="N49" s="4">
        <v>160</v>
      </c>
      <c r="O49" s="4">
        <v>11.67</v>
      </c>
      <c r="P49" s="4">
        <v>36600</v>
      </c>
      <c r="Q49" s="4">
        <v>1.17</v>
      </c>
      <c r="R49" s="4">
        <v>4.3</v>
      </c>
      <c r="S49" s="4">
        <v>50</v>
      </c>
      <c r="T49" s="4">
        <v>5.0999999999999996</v>
      </c>
      <c r="U49" s="4">
        <v>315</v>
      </c>
      <c r="V49" s="4">
        <v>1.6</v>
      </c>
      <c r="W49" s="4">
        <v>4.4800000000000004</v>
      </c>
      <c r="X49" s="4">
        <v>2290</v>
      </c>
      <c r="Y49" s="4">
        <v>0.4</v>
      </c>
      <c r="Z49">
        <f t="shared" si="4"/>
        <v>63.157894736842103</v>
      </c>
      <c r="AA49">
        <f t="shared" si="0"/>
        <v>2.5259601787636403</v>
      </c>
      <c r="AB49">
        <f t="shared" si="1"/>
        <v>21.846648250503218</v>
      </c>
      <c r="AC49">
        <f t="shared" si="2"/>
        <v>0.38389031705227084</v>
      </c>
      <c r="AD49">
        <f t="shared" si="3"/>
        <v>-2.1999999999998465E-2</v>
      </c>
      <c r="AF49">
        <v>25</v>
      </c>
      <c r="AG49">
        <f>$AA$3*AF49/($AA$4+AF49^$AA$5)</f>
        <v>31.117205556117892</v>
      </c>
    </row>
    <row r="50" spans="1:33">
      <c r="A50" s="4">
        <v>119</v>
      </c>
      <c r="B50" s="4" t="s">
        <v>1360</v>
      </c>
      <c r="C50" s="4">
        <v>32</v>
      </c>
      <c r="D50" s="4">
        <v>16</v>
      </c>
      <c r="E50" s="4">
        <v>11</v>
      </c>
      <c r="F50" s="4" t="s">
        <v>1519</v>
      </c>
      <c r="G50" s="4" t="s">
        <v>1529</v>
      </c>
      <c r="H50" s="4">
        <v>4</v>
      </c>
      <c r="I50" s="4">
        <v>21</v>
      </c>
      <c r="J50" s="4">
        <v>25</v>
      </c>
      <c r="K50" s="4">
        <v>40</v>
      </c>
      <c r="L50" s="4">
        <v>34</v>
      </c>
      <c r="M50" s="4">
        <v>147</v>
      </c>
      <c r="N50" s="4">
        <v>140</v>
      </c>
      <c r="O50" s="4">
        <v>8.4</v>
      </c>
      <c r="P50" s="4">
        <v>44600</v>
      </c>
      <c r="Q50" s="4">
        <v>1.23</v>
      </c>
      <c r="R50" s="4">
        <v>5.5</v>
      </c>
      <c r="S50" s="4">
        <v>46</v>
      </c>
      <c r="T50" s="4">
        <v>7.5</v>
      </c>
      <c r="U50" s="4">
        <v>369</v>
      </c>
      <c r="V50" s="4">
        <v>2.8</v>
      </c>
      <c r="W50" s="4">
        <v>3.5</v>
      </c>
      <c r="X50" s="4">
        <v>1120</v>
      </c>
      <c r="Y50" s="4">
        <v>0.8</v>
      </c>
      <c r="Z50">
        <f t="shared" si="4"/>
        <v>68.75</v>
      </c>
      <c r="AA50">
        <f t="shared" si="0"/>
        <v>2.6742286991885655</v>
      </c>
      <c r="AB50">
        <f t="shared" si="1"/>
        <v>69.31846775341532</v>
      </c>
      <c r="AC50">
        <f t="shared" si="2"/>
        <v>0.41666666666666663</v>
      </c>
      <c r="AD50">
        <f t="shared" si="3"/>
        <v>0</v>
      </c>
    </row>
    <row r="51" spans="1:33">
      <c r="A51" s="4">
        <v>168</v>
      </c>
      <c r="B51" s="7"/>
      <c r="C51" s="4">
        <v>65</v>
      </c>
      <c r="D51" s="4">
        <v>21</v>
      </c>
      <c r="E51" s="4">
        <v>18</v>
      </c>
      <c r="F51" s="4" t="s">
        <v>1519</v>
      </c>
      <c r="G51" s="4" t="s">
        <v>1529</v>
      </c>
      <c r="H51" s="4">
        <v>3.8</v>
      </c>
      <c r="I51" s="4">
        <v>28.2</v>
      </c>
      <c r="J51" s="4">
        <v>32</v>
      </c>
      <c r="K51" s="4">
        <v>33</v>
      </c>
      <c r="L51" s="4">
        <v>29</v>
      </c>
      <c r="M51" s="93" t="s">
        <v>1425</v>
      </c>
      <c r="N51" s="4">
        <v>121</v>
      </c>
      <c r="O51" s="4">
        <v>9.3000000000000007</v>
      </c>
      <c r="P51" s="4">
        <v>48500</v>
      </c>
      <c r="Q51" s="4">
        <v>1.18</v>
      </c>
      <c r="R51" s="4">
        <v>5.7</v>
      </c>
      <c r="S51" s="4">
        <v>53</v>
      </c>
      <c r="T51" s="4">
        <v>4.2</v>
      </c>
      <c r="U51" s="4" t="s">
        <v>1425</v>
      </c>
      <c r="V51" s="4" t="s">
        <v>1425</v>
      </c>
      <c r="W51" s="4">
        <v>4.2</v>
      </c>
      <c r="X51" s="4">
        <v>2210</v>
      </c>
      <c r="Y51" s="4" t="s">
        <v>1425</v>
      </c>
      <c r="Z51">
        <f t="shared" si="4"/>
        <v>85.714285714285708</v>
      </c>
      <c r="AA51">
        <f t="shared" si="0"/>
        <v>2.5662614939097708</v>
      </c>
      <c r="AB51">
        <f t="shared" si="1"/>
        <v>238.20028427437225</v>
      </c>
      <c r="AC51">
        <f t="shared" si="2"/>
        <v>0.45161290322580644</v>
      </c>
      <c r="AD51">
        <f t="shared" si="3"/>
        <v>-1.8000000000000682E-2</v>
      </c>
    </row>
    <row r="52" spans="1:33">
      <c r="A52" s="4">
        <v>188</v>
      </c>
      <c r="B52" s="7"/>
      <c r="C52" s="4">
        <v>82</v>
      </c>
      <c r="D52" s="4">
        <v>37</v>
      </c>
      <c r="E52" s="4">
        <v>24</v>
      </c>
      <c r="F52" s="4" t="s">
        <v>1519</v>
      </c>
      <c r="G52" s="4" t="s">
        <v>1529</v>
      </c>
      <c r="H52" s="4">
        <v>3</v>
      </c>
      <c r="I52" s="4">
        <v>179.7</v>
      </c>
      <c r="J52" s="4">
        <v>182.7</v>
      </c>
      <c r="K52" s="4">
        <v>18</v>
      </c>
      <c r="L52" s="4">
        <v>18</v>
      </c>
      <c r="M52" s="4">
        <v>132</v>
      </c>
      <c r="N52" s="4">
        <v>108</v>
      </c>
      <c r="O52" s="4">
        <v>32.4</v>
      </c>
      <c r="P52" s="4">
        <v>37100</v>
      </c>
      <c r="Q52" s="4">
        <v>1.36</v>
      </c>
      <c r="R52" s="4">
        <v>5</v>
      </c>
      <c r="S52" s="4">
        <v>162</v>
      </c>
      <c r="T52" s="4">
        <v>19.7</v>
      </c>
      <c r="U52" s="4">
        <v>414</v>
      </c>
      <c r="V52" s="4">
        <v>8.1999999999999993</v>
      </c>
      <c r="W52" s="4">
        <v>15.6</v>
      </c>
      <c r="X52" s="4">
        <v>1640</v>
      </c>
      <c r="Y52" s="4">
        <v>0.5</v>
      </c>
      <c r="Z52">
        <f t="shared" si="4"/>
        <v>64.86486486486487</v>
      </c>
      <c r="AA52">
        <f t="shared" si="0"/>
        <v>1.6016430590928363</v>
      </c>
      <c r="AB52">
        <f t="shared" si="1"/>
        <v>501.6863936522841</v>
      </c>
      <c r="AC52">
        <f t="shared" si="2"/>
        <v>0.48148148148148151</v>
      </c>
      <c r="AD52">
        <f t="shared" si="3"/>
        <v>4.8000000000001819E-2</v>
      </c>
    </row>
    <row r="53" spans="1:33">
      <c r="A53" s="4">
        <v>207</v>
      </c>
      <c r="B53" s="4" t="s">
        <v>1452</v>
      </c>
      <c r="C53" s="4">
        <v>113</v>
      </c>
      <c r="D53" s="4">
        <v>50</v>
      </c>
      <c r="E53" s="4">
        <v>25</v>
      </c>
      <c r="F53" s="4" t="s">
        <v>1519</v>
      </c>
      <c r="G53" s="4" t="s">
        <v>1529</v>
      </c>
      <c r="H53" s="4">
        <v>3.5</v>
      </c>
      <c r="I53" s="4">
        <v>263.8</v>
      </c>
      <c r="J53" s="4">
        <v>267.3</v>
      </c>
      <c r="K53" s="4">
        <v>14</v>
      </c>
      <c r="L53" s="4">
        <v>14</v>
      </c>
      <c r="M53" s="4">
        <v>120</v>
      </c>
      <c r="N53" s="4">
        <v>97</v>
      </c>
      <c r="O53" s="4">
        <v>37.700000000000003</v>
      </c>
      <c r="P53" s="4">
        <v>55700</v>
      </c>
      <c r="Q53" s="4">
        <v>0.92</v>
      </c>
      <c r="R53" s="4">
        <v>5.0999999999999996</v>
      </c>
      <c r="S53" s="4">
        <v>192</v>
      </c>
      <c r="T53" s="4">
        <v>21.1</v>
      </c>
      <c r="U53" s="4">
        <v>417</v>
      </c>
      <c r="V53" s="4">
        <v>8.8000000000000007</v>
      </c>
      <c r="W53" s="4">
        <v>19.100000000000001</v>
      </c>
      <c r="X53" s="4">
        <v>1790</v>
      </c>
      <c r="Y53" s="4">
        <v>0.5</v>
      </c>
      <c r="Z53">
        <f t="shared" si="4"/>
        <v>50</v>
      </c>
      <c r="AA53">
        <f t="shared" si="0"/>
        <v>1.4450272495319187</v>
      </c>
      <c r="AB53">
        <f t="shared" si="1"/>
        <v>554.83674127529389</v>
      </c>
      <c r="AC53">
        <f t="shared" si="2"/>
        <v>0.50663129973474796</v>
      </c>
      <c r="AD53">
        <f t="shared" si="3"/>
        <v>-7.3000000000000398E-2</v>
      </c>
    </row>
    <row r="54" spans="1:33">
      <c r="A54" s="4">
        <v>14</v>
      </c>
      <c r="B54" s="6" t="s">
        <v>1357</v>
      </c>
      <c r="C54" s="4">
        <v>20</v>
      </c>
      <c r="D54" s="4">
        <v>7.6</v>
      </c>
      <c r="E54" s="4">
        <v>6.9</v>
      </c>
      <c r="F54" s="4" t="s">
        <v>1519</v>
      </c>
      <c r="G54" s="4" t="s">
        <v>1526</v>
      </c>
      <c r="H54" s="4">
        <v>9.1999999999999993</v>
      </c>
      <c r="I54" s="4">
        <v>14.7</v>
      </c>
      <c r="J54" s="4">
        <v>23.9</v>
      </c>
      <c r="K54" s="4">
        <v>44</v>
      </c>
      <c r="L54" s="4">
        <v>27</v>
      </c>
      <c r="M54" s="4">
        <v>166</v>
      </c>
      <c r="N54" s="4">
        <v>154</v>
      </c>
      <c r="O54" s="4">
        <v>6.47</v>
      </c>
      <c r="P54" s="4">
        <v>38600</v>
      </c>
      <c r="Q54" s="4">
        <v>1.57</v>
      </c>
      <c r="R54" s="4">
        <v>6.1</v>
      </c>
      <c r="S54" s="4">
        <v>39</v>
      </c>
      <c r="T54" s="4">
        <v>2.2999999999999998</v>
      </c>
      <c r="U54" s="4">
        <v>407</v>
      </c>
      <c r="V54" s="4">
        <v>0.9</v>
      </c>
      <c r="W54" s="4">
        <v>2.5499999999999998</v>
      </c>
      <c r="X54" s="4">
        <v>2810</v>
      </c>
      <c r="Y54" s="4">
        <v>0.4</v>
      </c>
      <c r="Z54">
        <f t="shared" si="4"/>
        <v>90.789473684210535</v>
      </c>
      <c r="AA54">
        <f t="shared" si="0"/>
        <v>2.8404184642846753</v>
      </c>
      <c r="AB54">
        <f t="shared" si="1"/>
        <v>16.480202245120797</v>
      </c>
      <c r="AC54">
        <f t="shared" si="2"/>
        <v>0.39412673879443583</v>
      </c>
      <c r="AD54">
        <f t="shared" si="3"/>
        <v>6.9999999999996732E-3</v>
      </c>
      <c r="AF54">
        <v>10</v>
      </c>
      <c r="AG54">
        <f>$AA$3*AF54/($AA$4+AF54^$AA$5)</f>
        <v>19.505907181680243</v>
      </c>
    </row>
    <row r="55" spans="1:33">
      <c r="A55" s="4">
        <v>17</v>
      </c>
      <c r="B55" s="4" t="s">
        <v>1360</v>
      </c>
      <c r="C55" s="4">
        <v>20</v>
      </c>
      <c r="D55" s="4">
        <v>10.199999999999999</v>
      </c>
      <c r="E55" s="4">
        <v>7.8</v>
      </c>
      <c r="F55" s="4" t="s">
        <v>1519</v>
      </c>
      <c r="G55" s="4" t="s">
        <v>1526</v>
      </c>
      <c r="H55" s="4">
        <v>6</v>
      </c>
      <c r="I55" s="4">
        <v>34.020000000000003</v>
      </c>
      <c r="J55" s="4">
        <v>40.020000000000003</v>
      </c>
      <c r="K55" s="4">
        <v>38</v>
      </c>
      <c r="L55" s="4">
        <v>32</v>
      </c>
      <c r="M55" s="4">
        <v>166</v>
      </c>
      <c r="N55" s="4">
        <v>154</v>
      </c>
      <c r="O55" s="4">
        <v>12.75</v>
      </c>
      <c r="P55" s="4">
        <v>38700</v>
      </c>
      <c r="Q55" s="4">
        <v>1.54</v>
      </c>
      <c r="R55" s="4">
        <v>6</v>
      </c>
      <c r="S55" s="4">
        <v>76</v>
      </c>
      <c r="T55" s="4">
        <v>4.9000000000000004</v>
      </c>
      <c r="U55" s="4">
        <v>350</v>
      </c>
      <c r="V55" s="4">
        <v>1.7</v>
      </c>
      <c r="W55" s="4">
        <v>5.01</v>
      </c>
      <c r="X55" s="4">
        <v>2600</v>
      </c>
      <c r="Y55" s="4">
        <v>0.3</v>
      </c>
      <c r="Z55">
        <f t="shared" si="4"/>
        <v>76.470588235294116</v>
      </c>
      <c r="AA55">
        <f t="shared" si="0"/>
        <v>2.4536675866519331</v>
      </c>
      <c r="AB55">
        <f t="shared" si="1"/>
        <v>28.583270274016169</v>
      </c>
      <c r="AC55">
        <f t="shared" si="2"/>
        <v>0.39294117647058824</v>
      </c>
      <c r="AD55">
        <f t="shared" si="3"/>
        <v>-2.4599999999999511E-2</v>
      </c>
      <c r="AF55">
        <v>13</v>
      </c>
      <c r="AG55">
        <f>$AA$3*AF55/($AA$4+AF55^$AA$5)</f>
        <v>22.68323657745588</v>
      </c>
    </row>
    <row r="56" spans="1:33">
      <c r="A56" s="4">
        <v>47</v>
      </c>
      <c r="B56" s="4" t="s">
        <v>1360</v>
      </c>
      <c r="C56" s="4">
        <v>20</v>
      </c>
      <c r="D56" s="4">
        <v>14.6</v>
      </c>
      <c r="E56" s="4">
        <v>8.5</v>
      </c>
      <c r="F56" s="4" t="s">
        <v>1519</v>
      </c>
      <c r="G56" s="4" t="s">
        <v>1526</v>
      </c>
      <c r="H56" s="4">
        <v>4.0999999999999996</v>
      </c>
      <c r="I56" s="4">
        <v>57.2</v>
      </c>
      <c r="J56" s="4">
        <v>61.3</v>
      </c>
      <c r="K56" s="4">
        <v>35</v>
      </c>
      <c r="L56" s="4">
        <v>32</v>
      </c>
      <c r="M56" s="4">
        <v>163</v>
      </c>
      <c r="N56" s="4">
        <v>157</v>
      </c>
      <c r="O56" s="4">
        <v>19.88</v>
      </c>
      <c r="P56" s="4">
        <v>23000</v>
      </c>
      <c r="Q56" s="4">
        <v>2.13</v>
      </c>
      <c r="R56" s="4">
        <v>4.9000000000000004</v>
      </c>
      <c r="S56" s="4">
        <v>98</v>
      </c>
      <c r="T56" s="4">
        <v>9.6</v>
      </c>
      <c r="U56" s="4">
        <v>337</v>
      </c>
      <c r="V56" s="4">
        <v>3.2</v>
      </c>
      <c r="W56" s="4">
        <v>7.73</v>
      </c>
      <c r="X56" s="4">
        <v>2070</v>
      </c>
      <c r="Y56" s="4">
        <v>0.4</v>
      </c>
      <c r="Z56">
        <f t="shared" si="4"/>
        <v>58.219178082191782</v>
      </c>
      <c r="AA56">
        <f t="shared" si="0"/>
        <v>2.1471991430720898</v>
      </c>
      <c r="AB56">
        <f t="shared" si="1"/>
        <v>40.35807872778399</v>
      </c>
      <c r="AC56">
        <f t="shared" si="2"/>
        <v>0.38883299798792759</v>
      </c>
      <c r="AD56">
        <f t="shared" si="3"/>
        <v>-1.3899999999996027E-2</v>
      </c>
    </row>
    <row r="57" spans="1:33">
      <c r="A57" s="4">
        <v>51</v>
      </c>
      <c r="B57" s="4" t="s">
        <v>1360</v>
      </c>
      <c r="C57" s="4">
        <v>20</v>
      </c>
      <c r="D57" s="4">
        <v>10.6</v>
      </c>
      <c r="E57" s="4">
        <v>7.7</v>
      </c>
      <c r="F57" s="4" t="s">
        <v>1519</v>
      </c>
      <c r="G57" s="4" t="s">
        <v>1526</v>
      </c>
      <c r="H57" s="4">
        <v>5.75</v>
      </c>
      <c r="I57" s="4">
        <v>17.010000000000002</v>
      </c>
      <c r="J57" s="4">
        <v>22.76</v>
      </c>
      <c r="K57" s="4">
        <v>44</v>
      </c>
      <c r="L57" s="4">
        <v>33</v>
      </c>
      <c r="M57" s="4">
        <v>168</v>
      </c>
      <c r="N57" s="4">
        <v>158</v>
      </c>
      <c r="O57" s="4">
        <v>7.52</v>
      </c>
      <c r="P57" s="4">
        <v>28200</v>
      </c>
      <c r="Q57" s="4">
        <v>1.87</v>
      </c>
      <c r="R57" s="4">
        <v>5.3</v>
      </c>
      <c r="S57" s="4">
        <v>40</v>
      </c>
      <c r="T57" s="4">
        <v>5.3</v>
      </c>
      <c r="U57" s="4">
        <v>382</v>
      </c>
      <c r="V57" s="4">
        <v>2</v>
      </c>
      <c r="W57" s="4">
        <v>2.92</v>
      </c>
      <c r="X57" s="4">
        <v>1420</v>
      </c>
      <c r="Y57" s="4">
        <v>0.7</v>
      </c>
      <c r="Z57">
        <f t="shared" si="4"/>
        <v>72.64150943396227</v>
      </c>
      <c r="AA57">
        <f t="shared" si="0"/>
        <v>2.7726550762790434</v>
      </c>
      <c r="AB57">
        <f t="shared" si="1"/>
        <v>24.278727997318686</v>
      </c>
      <c r="AC57">
        <f t="shared" si="2"/>
        <v>0.38829787234042556</v>
      </c>
      <c r="AD57">
        <f t="shared" si="3"/>
        <v>1.3600000000000279E-2</v>
      </c>
    </row>
    <row r="58" spans="1:33">
      <c r="A58" s="4">
        <v>99</v>
      </c>
      <c r="B58" s="4" t="s">
        <v>1367</v>
      </c>
      <c r="C58" s="4">
        <v>32</v>
      </c>
      <c r="D58" s="4">
        <v>18</v>
      </c>
      <c r="E58" s="4">
        <v>10</v>
      </c>
      <c r="F58" s="4" t="s">
        <v>1519</v>
      </c>
      <c r="G58" s="4" t="s">
        <v>1526</v>
      </c>
      <c r="H58" s="4">
        <v>3.4</v>
      </c>
      <c r="I58" s="4">
        <v>68.400000000000006</v>
      </c>
      <c r="J58" s="4">
        <v>71.8</v>
      </c>
      <c r="K58" s="4">
        <v>25</v>
      </c>
      <c r="L58" s="4">
        <v>24</v>
      </c>
      <c r="M58" s="4">
        <v>142</v>
      </c>
      <c r="N58" s="4">
        <v>162</v>
      </c>
      <c r="O58" s="4">
        <v>17.3</v>
      </c>
      <c r="P58" s="4">
        <v>36900</v>
      </c>
      <c r="Q58" s="4">
        <v>1.27</v>
      </c>
      <c r="R58" s="4">
        <v>4.7</v>
      </c>
      <c r="S58" s="4">
        <v>81</v>
      </c>
      <c r="T58" s="4">
        <v>10.4</v>
      </c>
      <c r="U58" s="4">
        <v>394</v>
      </c>
      <c r="V58" s="4">
        <v>4.0999999999999996</v>
      </c>
      <c r="W58" s="4">
        <v>6.6</v>
      </c>
      <c r="X58" s="4">
        <v>1660</v>
      </c>
      <c r="Y58" s="4">
        <v>0.6</v>
      </c>
      <c r="Z58">
        <f t="shared" si="4"/>
        <v>55.555555555555557</v>
      </c>
      <c r="AA58">
        <f t="shared" si="0"/>
        <v>2.2631760607403164</v>
      </c>
      <c r="AB58">
        <f t="shared" si="1"/>
        <v>59.858444667101729</v>
      </c>
      <c r="AC58">
        <f t="shared" si="2"/>
        <v>0.38150289017341038</v>
      </c>
      <c r="AD58">
        <f t="shared" si="3"/>
        <v>-8.0000000000026716E-3</v>
      </c>
    </row>
    <row r="59" spans="1:33">
      <c r="A59" s="4">
        <v>105</v>
      </c>
      <c r="B59" s="4" t="s">
        <v>1485</v>
      </c>
      <c r="C59" s="4">
        <v>32</v>
      </c>
      <c r="D59" s="4">
        <v>18</v>
      </c>
      <c r="E59" s="4">
        <v>13</v>
      </c>
      <c r="F59" s="4" t="s">
        <v>1519</v>
      </c>
      <c r="G59" s="4" t="s">
        <v>1526</v>
      </c>
      <c r="H59" s="4">
        <v>3.3</v>
      </c>
      <c r="I59" s="4">
        <v>55</v>
      </c>
      <c r="J59" s="4">
        <v>58.3</v>
      </c>
      <c r="K59" s="4">
        <v>32</v>
      </c>
      <c r="L59" s="4">
        <v>30</v>
      </c>
      <c r="M59" s="4">
        <v>157</v>
      </c>
      <c r="N59" s="4">
        <v>168</v>
      </c>
      <c r="O59" s="4">
        <v>17.7</v>
      </c>
      <c r="P59" s="4">
        <v>37500</v>
      </c>
      <c r="Q59" s="4">
        <v>1.43</v>
      </c>
      <c r="R59" s="4">
        <v>5.4</v>
      </c>
      <c r="S59" s="4">
        <v>96</v>
      </c>
      <c r="T59" s="4">
        <v>14.7</v>
      </c>
      <c r="U59" s="4">
        <v>381</v>
      </c>
      <c r="V59" s="4">
        <v>5.6</v>
      </c>
      <c r="W59" s="4">
        <v>6.6</v>
      </c>
      <c r="X59" s="4">
        <v>1200</v>
      </c>
      <c r="Y59" s="4">
        <v>0.8</v>
      </c>
      <c r="Z59">
        <f t="shared" si="4"/>
        <v>72.222222222222229</v>
      </c>
      <c r="AA59">
        <f t="shared" si="0"/>
        <v>2.2631760607403164</v>
      </c>
      <c r="AB59">
        <f t="shared" si="1"/>
        <v>115.27938830265981</v>
      </c>
      <c r="AC59">
        <f t="shared" si="2"/>
        <v>0.3728813559322034</v>
      </c>
      <c r="AD59">
        <f t="shared" si="3"/>
        <v>-1.2000000000000455E-2</v>
      </c>
    </row>
    <row r="60" spans="1:33">
      <c r="A60" s="4">
        <v>130</v>
      </c>
      <c r="B60" s="4" t="s">
        <v>1369</v>
      </c>
      <c r="C60" s="4">
        <v>32</v>
      </c>
      <c r="D60" s="4">
        <v>17</v>
      </c>
      <c r="E60" s="4">
        <v>18</v>
      </c>
      <c r="F60" s="4" t="s">
        <v>1519</v>
      </c>
      <c r="G60" s="4" t="s">
        <v>1526</v>
      </c>
      <c r="H60" s="4">
        <v>5.6</v>
      </c>
      <c r="I60" s="4">
        <v>34.4</v>
      </c>
      <c r="J60" s="4">
        <v>40</v>
      </c>
      <c r="K60" s="4">
        <v>30</v>
      </c>
      <c r="L60" s="4">
        <v>26</v>
      </c>
      <c r="M60" s="4">
        <v>157</v>
      </c>
      <c r="N60" s="4">
        <v>155</v>
      </c>
      <c r="O60" s="4">
        <v>10.199999999999999</v>
      </c>
      <c r="P60" s="4">
        <v>27800</v>
      </c>
      <c r="Q60" s="4">
        <v>1.97</v>
      </c>
      <c r="R60" s="4">
        <v>5.5</v>
      </c>
      <c r="S60" s="4">
        <v>56</v>
      </c>
      <c r="T60" s="4">
        <v>13.4</v>
      </c>
      <c r="U60" s="4">
        <v>401</v>
      </c>
      <c r="V60" s="4">
        <v>5.4</v>
      </c>
      <c r="W60" s="4">
        <v>4</v>
      </c>
      <c r="X60" s="4">
        <v>760</v>
      </c>
      <c r="Y60" s="4">
        <v>1.3</v>
      </c>
      <c r="Z60">
        <f t="shared" si="4"/>
        <v>105.88235294117646</v>
      </c>
      <c r="AA60">
        <f t="shared" si="0"/>
        <v>2.5960150532330872</v>
      </c>
      <c r="AB60">
        <f t="shared" si="1"/>
        <v>237.28275224022167</v>
      </c>
      <c r="AC60">
        <f t="shared" si="2"/>
        <v>0.39215686274509809</v>
      </c>
      <c r="AD60">
        <f t="shared" si="3"/>
        <v>0</v>
      </c>
    </row>
    <row r="61" spans="1:33">
      <c r="A61" s="4">
        <v>143</v>
      </c>
      <c r="B61" s="4" t="s">
        <v>1416</v>
      </c>
      <c r="C61" s="4">
        <v>33</v>
      </c>
      <c r="D61" s="4">
        <v>14</v>
      </c>
      <c r="E61" s="4">
        <v>6</v>
      </c>
      <c r="F61" s="4" t="s">
        <v>1519</v>
      </c>
      <c r="G61" s="4" t="s">
        <v>1526</v>
      </c>
      <c r="H61" s="4">
        <v>1.7</v>
      </c>
      <c r="I61" s="4">
        <v>32.1</v>
      </c>
      <c r="J61" s="4">
        <v>33.799999999999997</v>
      </c>
      <c r="K61" s="4">
        <v>26</v>
      </c>
      <c r="L61" s="4">
        <v>25</v>
      </c>
      <c r="M61" s="4">
        <v>126</v>
      </c>
      <c r="N61" s="4">
        <v>115</v>
      </c>
      <c r="O61" s="4">
        <v>8.4</v>
      </c>
      <c r="P61" s="4">
        <v>85100</v>
      </c>
      <c r="Q61" s="4">
        <v>0.65</v>
      </c>
      <c r="R61" s="4">
        <v>5.5</v>
      </c>
      <c r="S61" s="4">
        <v>46</v>
      </c>
      <c r="T61" s="4">
        <v>3.4</v>
      </c>
      <c r="U61" s="4">
        <v>329</v>
      </c>
      <c r="V61" s="4">
        <v>1.1000000000000001</v>
      </c>
      <c r="W61" s="4">
        <v>3.9</v>
      </c>
      <c r="X61" s="4">
        <v>2460</v>
      </c>
      <c r="Y61" s="4">
        <v>0.3</v>
      </c>
      <c r="Z61">
        <f t="shared" si="4"/>
        <v>42.857142857142854</v>
      </c>
      <c r="AA61">
        <f t="shared" si="0"/>
        <v>2.6112087984060364</v>
      </c>
      <c r="AB61">
        <f t="shared" si="1"/>
        <v>11.48390580800066</v>
      </c>
      <c r="AC61">
        <f t="shared" si="2"/>
        <v>0.46428571428571425</v>
      </c>
      <c r="AD61">
        <f t="shared" si="3"/>
        <v>-1.5000000000000568E-2</v>
      </c>
    </row>
    <row r="62" spans="1:33">
      <c r="A62" s="4">
        <v>150</v>
      </c>
      <c r="B62" s="4" t="s">
        <v>1374</v>
      </c>
      <c r="C62" s="4">
        <v>33</v>
      </c>
      <c r="D62" s="4">
        <v>9</v>
      </c>
      <c r="E62" s="4">
        <v>5</v>
      </c>
      <c r="F62" s="4" t="s">
        <v>1519</v>
      </c>
      <c r="G62" s="4" t="s">
        <v>1526</v>
      </c>
      <c r="H62" s="4">
        <v>3</v>
      </c>
      <c r="I62" s="4">
        <v>13.1</v>
      </c>
      <c r="J62" s="4">
        <v>16.100000000000001</v>
      </c>
      <c r="K62" s="4">
        <v>30</v>
      </c>
      <c r="L62" s="4">
        <v>24</v>
      </c>
      <c r="M62" s="4">
        <v>116</v>
      </c>
      <c r="N62" s="4">
        <v>116</v>
      </c>
      <c r="O62" s="4">
        <v>3.9</v>
      </c>
      <c r="P62" s="4">
        <v>62200</v>
      </c>
      <c r="Q62" s="4">
        <v>0.98</v>
      </c>
      <c r="R62" s="4">
        <v>6.1</v>
      </c>
      <c r="S62" s="4">
        <v>24</v>
      </c>
      <c r="T62" s="4">
        <v>1.6</v>
      </c>
      <c r="U62" s="4">
        <v>326</v>
      </c>
      <c r="V62" s="4">
        <v>0.5</v>
      </c>
      <c r="W62" s="4">
        <v>1.8</v>
      </c>
      <c r="X62" s="4">
        <v>2480</v>
      </c>
      <c r="Y62" s="4">
        <v>0.3</v>
      </c>
      <c r="Z62">
        <f t="shared" si="4"/>
        <v>55.555555555555557</v>
      </c>
      <c r="AA62">
        <f t="shared" si="0"/>
        <v>2.9921568386222015</v>
      </c>
      <c r="AB62">
        <f t="shared" si="1"/>
        <v>4.0314341606915924</v>
      </c>
      <c r="AC62">
        <f t="shared" si="2"/>
        <v>0.46153846153846156</v>
      </c>
      <c r="AD62">
        <f t="shared" si="3"/>
        <v>-1.1999999999999567E-2</v>
      </c>
    </row>
    <row r="63" spans="1:33">
      <c r="A63" s="4">
        <v>151</v>
      </c>
      <c r="B63" s="4" t="s">
        <v>1374</v>
      </c>
      <c r="C63" s="4">
        <v>33</v>
      </c>
      <c r="D63" s="4">
        <v>11</v>
      </c>
      <c r="E63" s="4">
        <v>5</v>
      </c>
      <c r="F63" s="4" t="s">
        <v>1519</v>
      </c>
      <c r="G63" s="4" t="s">
        <v>1526</v>
      </c>
      <c r="H63" s="4">
        <v>2.2000000000000002</v>
      </c>
      <c r="I63" s="4">
        <v>10.5</v>
      </c>
      <c r="J63" s="4">
        <v>12.7</v>
      </c>
      <c r="K63" s="4">
        <v>34</v>
      </c>
      <c r="L63" s="4">
        <v>28</v>
      </c>
      <c r="M63" s="4">
        <v>120</v>
      </c>
      <c r="N63" s="4">
        <v>113</v>
      </c>
      <c r="O63" s="4">
        <v>3.6</v>
      </c>
      <c r="P63" s="4">
        <v>58400</v>
      </c>
      <c r="Q63" s="4">
        <v>1.0900000000000001</v>
      </c>
      <c r="R63" s="4">
        <v>6.4</v>
      </c>
      <c r="S63" s="4">
        <v>23</v>
      </c>
      <c r="T63" s="4">
        <v>1.4</v>
      </c>
      <c r="U63" s="4">
        <v>366</v>
      </c>
      <c r="V63" s="4">
        <v>0.5</v>
      </c>
      <c r="W63" s="4">
        <v>1.7</v>
      </c>
      <c r="X63" s="4">
        <v>2510</v>
      </c>
      <c r="Y63" s="4">
        <v>0.3</v>
      </c>
      <c r="Z63">
        <f t="shared" si="4"/>
        <v>45.454545454545453</v>
      </c>
      <c r="AA63">
        <f t="shared" si="0"/>
        <v>3.0140857523835849</v>
      </c>
      <c r="AB63">
        <f t="shared" si="1"/>
        <v>3.943855398885872</v>
      </c>
      <c r="AC63">
        <f t="shared" si="2"/>
        <v>0.47222222222222221</v>
      </c>
      <c r="AD63">
        <f t="shared" si="3"/>
        <v>2.0999999999999464E-2</v>
      </c>
    </row>
    <row r="64" spans="1:33">
      <c r="A64" s="4">
        <v>155</v>
      </c>
      <c r="B64" s="4" t="s">
        <v>1423</v>
      </c>
      <c r="C64" s="4">
        <v>33</v>
      </c>
      <c r="D64" s="4">
        <v>13</v>
      </c>
      <c r="E64" s="4">
        <v>6</v>
      </c>
      <c r="F64" s="4" t="s">
        <v>1519</v>
      </c>
      <c r="G64" s="4" t="s">
        <v>1526</v>
      </c>
      <c r="H64" s="4">
        <v>3.3</v>
      </c>
      <c r="I64" s="4">
        <v>16.8</v>
      </c>
      <c r="J64" s="4">
        <v>20.100000000000001</v>
      </c>
      <c r="K64" s="4">
        <v>46</v>
      </c>
      <c r="L64" s="4">
        <v>39</v>
      </c>
      <c r="M64" s="4">
        <v>134</v>
      </c>
      <c r="N64" s="4">
        <v>130</v>
      </c>
      <c r="O64" s="4">
        <v>7.8</v>
      </c>
      <c r="P64" s="4">
        <v>31000</v>
      </c>
      <c r="Q64" s="4">
        <v>1.32</v>
      </c>
      <c r="R64" s="4">
        <v>4.0999999999999996</v>
      </c>
      <c r="S64" s="4">
        <v>32</v>
      </c>
      <c r="T64" s="4">
        <v>4.0999999999999996</v>
      </c>
      <c r="U64" s="4">
        <v>336</v>
      </c>
      <c r="V64" s="4">
        <v>1.4</v>
      </c>
      <c r="W64" s="4">
        <v>3.4</v>
      </c>
      <c r="X64" s="4">
        <v>1900</v>
      </c>
      <c r="Y64" s="4">
        <v>0.4</v>
      </c>
      <c r="Z64">
        <f t="shared" si="4"/>
        <v>46.153846153846153</v>
      </c>
      <c r="AA64">
        <f t="shared" si="0"/>
        <v>2.6905756963886103</v>
      </c>
      <c r="AB64">
        <f t="shared" si="1"/>
        <v>10.952289221333732</v>
      </c>
      <c r="AC64">
        <f t="shared" si="2"/>
        <v>0.4358974358974359</v>
      </c>
      <c r="AD64">
        <f t="shared" si="3"/>
        <v>1.9999999999999574E-2</v>
      </c>
    </row>
    <row r="65" spans="1:33">
      <c r="A65" s="4">
        <v>198</v>
      </c>
      <c r="B65" s="7"/>
      <c r="C65" s="4">
        <v>85</v>
      </c>
      <c r="D65" s="4">
        <v>52</v>
      </c>
      <c r="E65" s="4">
        <v>31</v>
      </c>
      <c r="F65" s="4" t="s">
        <v>1519</v>
      </c>
      <c r="G65" s="4" t="s">
        <v>1526</v>
      </c>
      <c r="H65" s="4">
        <v>5</v>
      </c>
      <c r="I65" s="4">
        <v>169.8</v>
      </c>
      <c r="J65" s="4">
        <v>174.8</v>
      </c>
      <c r="K65" s="4">
        <v>22</v>
      </c>
      <c r="L65" s="4">
        <v>21</v>
      </c>
      <c r="M65" s="4">
        <v>128</v>
      </c>
      <c r="N65" s="4">
        <v>157</v>
      </c>
      <c r="O65" s="4">
        <v>36.700000000000003</v>
      </c>
      <c r="P65" s="4">
        <v>47000</v>
      </c>
      <c r="Q65" s="4">
        <v>1.4</v>
      </c>
      <c r="R65" s="4">
        <v>6.6</v>
      </c>
      <c r="S65" s="4">
        <v>242</v>
      </c>
      <c r="T65" s="4">
        <v>36.299999999999997</v>
      </c>
      <c r="U65" s="4">
        <v>400</v>
      </c>
      <c r="V65" s="4">
        <v>14.5</v>
      </c>
      <c r="W65" s="4">
        <v>14.3</v>
      </c>
      <c r="X65" s="4">
        <v>1010</v>
      </c>
      <c r="Y65" s="4">
        <v>1</v>
      </c>
      <c r="Z65">
        <f t="shared" si="4"/>
        <v>59.615384615384613</v>
      </c>
      <c r="AA65">
        <f t="shared" si="0"/>
        <v>1.669863654663069</v>
      </c>
      <c r="AB65">
        <f t="shared" si="1"/>
        <v>860.25689803605451</v>
      </c>
      <c r="AC65">
        <f t="shared" si="2"/>
        <v>0.38964577656675747</v>
      </c>
      <c r="AD65">
        <f t="shared" si="3"/>
        <v>5.1000000000001933E-2</v>
      </c>
    </row>
    <row r="66" spans="1:33">
      <c r="A66" s="4">
        <v>98</v>
      </c>
      <c r="B66" s="4" t="s">
        <v>1399</v>
      </c>
      <c r="C66" s="4">
        <v>32</v>
      </c>
      <c r="D66" s="4">
        <v>15</v>
      </c>
      <c r="E66" s="4">
        <v>11</v>
      </c>
      <c r="F66" s="4" t="s">
        <v>1519</v>
      </c>
      <c r="G66" s="4" t="s">
        <v>1528</v>
      </c>
      <c r="H66" s="4">
        <v>4.7</v>
      </c>
      <c r="I66" s="4">
        <v>21</v>
      </c>
      <c r="J66" s="4">
        <v>25.7</v>
      </c>
      <c r="K66" s="4">
        <v>45</v>
      </c>
      <c r="L66" s="4">
        <v>37</v>
      </c>
      <c r="M66" s="4">
        <v>153</v>
      </c>
      <c r="N66" s="4">
        <v>161</v>
      </c>
      <c r="O66" s="4">
        <v>9.4</v>
      </c>
      <c r="P66" s="4">
        <v>34300</v>
      </c>
      <c r="Q66" s="4">
        <v>1.3</v>
      </c>
      <c r="R66" s="4">
        <v>4.5</v>
      </c>
      <c r="S66" s="4">
        <v>42</v>
      </c>
      <c r="T66" s="4">
        <v>5.4</v>
      </c>
      <c r="U66" s="4">
        <v>402</v>
      </c>
      <c r="V66" s="4">
        <v>2.2000000000000002</v>
      </c>
      <c r="W66" s="4">
        <v>3.6</v>
      </c>
      <c r="X66" s="4">
        <v>1740</v>
      </c>
      <c r="Y66" s="4">
        <v>0.6</v>
      </c>
      <c r="Z66">
        <f t="shared" si="4"/>
        <v>73.333333333333329</v>
      </c>
      <c r="AA66">
        <f t="shared" si="0"/>
        <v>2.658124944524662</v>
      </c>
      <c r="AB66">
        <f t="shared" si="1"/>
        <v>69.58687944116167</v>
      </c>
      <c r="AC66">
        <f t="shared" si="2"/>
        <v>0.38297872340425532</v>
      </c>
      <c r="AD66">
        <f t="shared" si="3"/>
        <v>-3.9999999999995595E-3</v>
      </c>
    </row>
    <row r="67" spans="1:33">
      <c r="A67" s="4">
        <v>142</v>
      </c>
      <c r="B67" s="4" t="s">
        <v>1419</v>
      </c>
      <c r="C67" s="4">
        <v>33</v>
      </c>
      <c r="D67" s="4">
        <v>12</v>
      </c>
      <c r="E67" s="4">
        <v>6</v>
      </c>
      <c r="F67" s="4" t="s">
        <v>1519</v>
      </c>
      <c r="G67" s="4" t="s">
        <v>1528</v>
      </c>
      <c r="H67" s="4">
        <v>2.2000000000000002</v>
      </c>
      <c r="I67" s="4">
        <v>12.7</v>
      </c>
      <c r="J67" s="4">
        <v>14.9</v>
      </c>
      <c r="K67" s="4">
        <v>32</v>
      </c>
      <c r="L67" s="4">
        <v>28</v>
      </c>
      <c r="M67" s="4">
        <v>129</v>
      </c>
      <c r="N67" s="4">
        <v>124</v>
      </c>
      <c r="O67" s="4">
        <v>4.0999999999999996</v>
      </c>
      <c r="P67" s="4">
        <v>59700</v>
      </c>
      <c r="Q67" s="4">
        <v>0.9</v>
      </c>
      <c r="R67" s="4">
        <v>5.4</v>
      </c>
      <c r="S67" s="4">
        <v>22</v>
      </c>
      <c r="T67" s="4">
        <v>1.5</v>
      </c>
      <c r="U67" s="4">
        <v>320</v>
      </c>
      <c r="V67" s="4">
        <v>0.5</v>
      </c>
      <c r="W67" s="4">
        <v>1.8</v>
      </c>
      <c r="X67" s="4">
        <v>2750</v>
      </c>
      <c r="Y67" s="4">
        <v>0.3</v>
      </c>
      <c r="Z67">
        <f t="shared" si="4"/>
        <v>50</v>
      </c>
      <c r="AA67">
        <f t="shared" si="0"/>
        <v>2.9921568386222015</v>
      </c>
      <c r="AB67">
        <f t="shared" si="1"/>
        <v>9.0471204834471894</v>
      </c>
      <c r="AC67">
        <f t="shared" si="2"/>
        <v>0.4390243902439025</v>
      </c>
      <c r="AD67">
        <f t="shared" si="3"/>
        <v>-6.7999999999998728E-2</v>
      </c>
    </row>
    <row r="68" spans="1:33">
      <c r="A68" s="4">
        <v>147</v>
      </c>
      <c r="B68" s="4" t="s">
        <v>1360</v>
      </c>
      <c r="C68" s="4">
        <v>33</v>
      </c>
      <c r="D68" s="4">
        <v>14</v>
      </c>
      <c r="E68" s="4">
        <v>7</v>
      </c>
      <c r="F68" s="4" t="s">
        <v>1519</v>
      </c>
      <c r="G68" s="4" t="s">
        <v>1528</v>
      </c>
      <c r="H68" s="4">
        <v>2.5</v>
      </c>
      <c r="I68" s="4">
        <v>28</v>
      </c>
      <c r="J68" s="4">
        <v>30.5</v>
      </c>
      <c r="K68" s="4">
        <v>35</v>
      </c>
      <c r="L68" s="4">
        <v>32</v>
      </c>
      <c r="M68" s="4">
        <v>124</v>
      </c>
      <c r="N68" s="4">
        <v>116</v>
      </c>
      <c r="O68" s="4">
        <v>9.6999999999999993</v>
      </c>
      <c r="P68" s="4">
        <v>61500</v>
      </c>
      <c r="Q68" s="4">
        <v>0.94</v>
      </c>
      <c r="R68" s="4">
        <v>5.8</v>
      </c>
      <c r="S68" s="4">
        <v>56</v>
      </c>
      <c r="T68" s="4">
        <v>3.3</v>
      </c>
      <c r="U68" s="4">
        <v>305</v>
      </c>
      <c r="V68" s="4">
        <v>1</v>
      </c>
      <c r="W68" s="4">
        <v>4.5</v>
      </c>
      <c r="X68" s="4">
        <v>3240</v>
      </c>
      <c r="Y68" s="4">
        <v>0.2</v>
      </c>
      <c r="Z68">
        <f t="shared" si="4"/>
        <v>50</v>
      </c>
      <c r="AA68">
        <f t="shared" si="0"/>
        <v>2.5231395389279303</v>
      </c>
      <c r="AB68">
        <f t="shared" si="1"/>
        <v>20.042279587910425</v>
      </c>
      <c r="AC68">
        <f t="shared" si="2"/>
        <v>0.46391752577319589</v>
      </c>
      <c r="AD68">
        <f t="shared" si="3"/>
        <v>2.000000000000135E-2</v>
      </c>
    </row>
    <row r="69" spans="1:33">
      <c r="A69" s="4">
        <v>162</v>
      </c>
      <c r="B69" s="7"/>
      <c r="C69" s="4">
        <v>60</v>
      </c>
      <c r="D69" s="4">
        <v>33</v>
      </c>
      <c r="E69" s="4">
        <v>25</v>
      </c>
      <c r="F69" s="4" t="s">
        <v>1519</v>
      </c>
      <c r="G69" s="4" t="s">
        <v>1528</v>
      </c>
      <c r="H69" s="4">
        <v>5.6</v>
      </c>
      <c r="I69" s="4">
        <v>45.1</v>
      </c>
      <c r="J69" s="4">
        <v>50.7</v>
      </c>
      <c r="K69" s="4">
        <v>29</v>
      </c>
      <c r="L69" s="4">
        <v>26</v>
      </c>
      <c r="M69" s="4">
        <v>123</v>
      </c>
      <c r="N69" s="4">
        <v>136</v>
      </c>
      <c r="O69" s="4">
        <v>13.2</v>
      </c>
      <c r="P69" s="4">
        <v>27900</v>
      </c>
      <c r="Q69" s="4">
        <v>1.75</v>
      </c>
      <c r="R69" s="4">
        <v>4.9000000000000004</v>
      </c>
      <c r="S69" s="4">
        <v>65</v>
      </c>
      <c r="T69" s="4">
        <v>15.8</v>
      </c>
      <c r="U69" s="4">
        <v>392</v>
      </c>
      <c r="V69" s="4">
        <v>6.2</v>
      </c>
      <c r="W69" s="4">
        <v>5.6</v>
      </c>
      <c r="X69" s="4">
        <v>840</v>
      </c>
      <c r="Y69" s="4">
        <v>1.1000000000000001</v>
      </c>
      <c r="Z69">
        <f t="shared" si="4"/>
        <v>75.757575757575751</v>
      </c>
      <c r="AA69">
        <f t="shared" si="0"/>
        <v>2.3787226801873018</v>
      </c>
      <c r="AB69">
        <f t="shared" si="1"/>
        <v>511.72218757987235</v>
      </c>
      <c r="AC69">
        <f t="shared" si="2"/>
        <v>0.42424242424242425</v>
      </c>
      <c r="AD69">
        <f t="shared" si="3"/>
        <v>1.6000000000001791E-2</v>
      </c>
    </row>
    <row r="70" spans="1:33">
      <c r="A70" s="4">
        <v>180</v>
      </c>
      <c r="B70" s="7"/>
      <c r="C70" s="4">
        <v>81</v>
      </c>
      <c r="D70" s="4">
        <v>32</v>
      </c>
      <c r="E70" s="4">
        <v>21</v>
      </c>
      <c r="F70" s="4" t="s">
        <v>1519</v>
      </c>
      <c r="G70" s="4" t="s">
        <v>1528</v>
      </c>
      <c r="H70" s="4">
        <v>6.5</v>
      </c>
      <c r="I70" s="4">
        <v>51</v>
      </c>
      <c r="J70" s="4">
        <v>57.5</v>
      </c>
      <c r="K70" s="4">
        <v>18</v>
      </c>
      <c r="L70" s="4">
        <v>16</v>
      </c>
      <c r="M70" s="4">
        <v>151</v>
      </c>
      <c r="N70" s="4">
        <v>127</v>
      </c>
      <c r="O70" s="4">
        <v>9.3000000000000007</v>
      </c>
      <c r="P70" s="4">
        <v>61600</v>
      </c>
      <c r="Q70" s="4">
        <v>0.99</v>
      </c>
      <c r="R70" s="4">
        <v>6.1</v>
      </c>
      <c r="S70" s="4">
        <v>57</v>
      </c>
      <c r="T70" s="4">
        <v>12.1</v>
      </c>
      <c r="U70" s="4">
        <v>418</v>
      </c>
      <c r="V70" s="4">
        <v>5.0999999999999996</v>
      </c>
      <c r="W70" s="4">
        <v>4.0999999999999996</v>
      </c>
      <c r="X70" s="4">
        <v>770</v>
      </c>
      <c r="Y70" s="4">
        <v>1.2</v>
      </c>
      <c r="Z70">
        <f t="shared" si="4"/>
        <v>65.625</v>
      </c>
      <c r="AA70">
        <f t="shared" ref="AA70:AA133" si="5">$AA$3/($AA$4+W70^$AA$5)</f>
        <v>2.5810343854443953</v>
      </c>
      <c r="AB70">
        <f t="shared" ref="AB70:AB133" si="6">(E70-AA70)^2</f>
        <v>339.25829431018167</v>
      </c>
      <c r="AC70">
        <f t="shared" ref="AC70:AC133" si="7">W70/O70</f>
        <v>0.44086021505376338</v>
      </c>
      <c r="AD70">
        <f t="shared" ref="AD70:AD133" si="8">W70*(1+N70/100)-O70</f>
        <v>6.9999999999978968E-3</v>
      </c>
    </row>
    <row r="71" spans="1:33">
      <c r="A71" s="4">
        <v>2</v>
      </c>
      <c r="B71" s="4" t="s">
        <v>1520</v>
      </c>
      <c r="C71" s="4">
        <v>12</v>
      </c>
      <c r="D71" s="4">
        <v>3.3</v>
      </c>
      <c r="E71" s="4">
        <v>3.1</v>
      </c>
      <c r="F71" s="4" t="s">
        <v>1519</v>
      </c>
      <c r="G71" s="4" t="s">
        <v>1524</v>
      </c>
      <c r="H71" s="4">
        <v>4</v>
      </c>
      <c r="I71" s="4">
        <v>5.51</v>
      </c>
      <c r="J71" s="4">
        <v>9.51</v>
      </c>
      <c r="K71" s="4">
        <v>46</v>
      </c>
      <c r="L71" s="4">
        <v>27</v>
      </c>
      <c r="M71" s="4">
        <v>174</v>
      </c>
      <c r="N71" s="4">
        <v>169</v>
      </c>
      <c r="O71" s="4">
        <v>2.5299999999999998</v>
      </c>
      <c r="P71" s="4">
        <v>48200</v>
      </c>
      <c r="Q71" s="4">
        <v>1.31</v>
      </c>
      <c r="R71" s="4">
        <v>6.3</v>
      </c>
      <c r="S71" s="4">
        <v>16</v>
      </c>
      <c r="T71" s="4" t="s">
        <v>1461</v>
      </c>
      <c r="U71" s="4" t="s">
        <v>1461</v>
      </c>
      <c r="V71" s="4" t="s">
        <v>1461</v>
      </c>
      <c r="W71" s="4">
        <v>0.94</v>
      </c>
      <c r="X71" s="4" t="s">
        <v>1461</v>
      </c>
      <c r="Y71" s="4" t="s">
        <v>1461</v>
      </c>
      <c r="Z71">
        <f t="shared" ref="Z71:Z134" si="9">E71*100/D71</f>
        <v>93.939393939393938</v>
      </c>
      <c r="AA71">
        <f t="shared" si="5"/>
        <v>3.1975634728944868</v>
      </c>
      <c r="AB71">
        <f t="shared" si="6"/>
        <v>9.5186312432332509E-3</v>
      </c>
      <c r="AC71">
        <f t="shared" si="7"/>
        <v>0.3715415019762846</v>
      </c>
      <c r="AD71">
        <f t="shared" si="8"/>
        <v>-1.3999999999998458E-3</v>
      </c>
      <c r="AF71">
        <v>0.5</v>
      </c>
      <c r="AG71">
        <f>$AA$3*AF71/($AA$4+AF71^$AA$5)</f>
        <v>1.6609897625478385</v>
      </c>
    </row>
    <row r="72" spans="1:33">
      <c r="A72" s="4">
        <v>5</v>
      </c>
      <c r="B72" s="4" t="s">
        <v>1335</v>
      </c>
      <c r="C72" s="4">
        <v>19</v>
      </c>
      <c r="D72" s="4">
        <v>8.1999999999999993</v>
      </c>
      <c r="E72" s="4">
        <v>8.8000000000000007</v>
      </c>
      <c r="F72" s="4" t="s">
        <v>1519</v>
      </c>
      <c r="G72" s="4" t="s">
        <v>1524</v>
      </c>
      <c r="H72" s="4">
        <v>7.35</v>
      </c>
      <c r="I72" s="4">
        <v>7.73</v>
      </c>
      <c r="J72" s="4">
        <v>15.08</v>
      </c>
      <c r="K72" s="4">
        <v>38</v>
      </c>
      <c r="L72" s="4">
        <v>19</v>
      </c>
      <c r="M72" s="4">
        <v>179</v>
      </c>
      <c r="N72" s="4">
        <v>185</v>
      </c>
      <c r="O72" s="4">
        <v>2.8</v>
      </c>
      <c r="P72" s="4">
        <v>31000</v>
      </c>
      <c r="Q72" s="4">
        <v>1.72</v>
      </c>
      <c r="R72" s="4">
        <v>5.3</v>
      </c>
      <c r="S72" s="4">
        <v>15</v>
      </c>
      <c r="T72" s="4">
        <v>3.1</v>
      </c>
      <c r="U72" s="4">
        <v>345</v>
      </c>
      <c r="V72" s="4">
        <v>1.1000000000000001</v>
      </c>
      <c r="W72" s="4">
        <v>0.98</v>
      </c>
      <c r="X72" s="4">
        <v>900</v>
      </c>
      <c r="Y72" s="4">
        <v>1.1000000000000001</v>
      </c>
      <c r="Z72">
        <f t="shared" si="9"/>
        <v>107.31707317073173</v>
      </c>
      <c r="AA72">
        <f t="shared" si="5"/>
        <v>3.1870385896791547</v>
      </c>
      <c r="AB72">
        <f t="shared" si="6"/>
        <v>31.50533579375098</v>
      </c>
      <c r="AC72">
        <f t="shared" si="7"/>
        <v>0.35000000000000003</v>
      </c>
      <c r="AD72">
        <f t="shared" si="8"/>
        <v>-6.9999999999996732E-3</v>
      </c>
      <c r="AF72">
        <v>2</v>
      </c>
      <c r="AG72">
        <f>$AA$3*AF72/($AA$4+AF72^$AA$5)</f>
        <v>5.8991750172173081</v>
      </c>
    </row>
    <row r="73" spans="1:33">
      <c r="A73" s="4">
        <v>19</v>
      </c>
      <c r="B73" s="4" t="s">
        <v>1342</v>
      </c>
      <c r="C73" s="4">
        <v>20</v>
      </c>
      <c r="D73" s="4">
        <v>10.199999999999999</v>
      </c>
      <c r="E73" s="4">
        <v>8.3000000000000007</v>
      </c>
      <c r="F73" s="4" t="s">
        <v>1519</v>
      </c>
      <c r="G73" s="4" t="s">
        <v>1524</v>
      </c>
      <c r="H73" s="4">
        <v>6.75</v>
      </c>
      <c r="I73" s="4">
        <v>23.83</v>
      </c>
      <c r="J73" s="4">
        <v>30.58</v>
      </c>
      <c r="K73" s="4">
        <v>44</v>
      </c>
      <c r="L73" s="4">
        <v>34</v>
      </c>
      <c r="M73" s="4">
        <v>177</v>
      </c>
      <c r="N73" s="4">
        <v>154</v>
      </c>
      <c r="O73" s="4">
        <v>10.54</v>
      </c>
      <c r="P73" s="4">
        <v>35800</v>
      </c>
      <c r="Q73" s="4">
        <v>1.34</v>
      </c>
      <c r="R73" s="4">
        <v>4.8</v>
      </c>
      <c r="S73" s="4">
        <v>51</v>
      </c>
      <c r="T73" s="4">
        <v>4.3</v>
      </c>
      <c r="U73" s="4">
        <v>333</v>
      </c>
      <c r="V73" s="4">
        <v>1.4</v>
      </c>
      <c r="W73" s="4">
        <v>4.1500000000000004</v>
      </c>
      <c r="X73" s="4">
        <v>2450</v>
      </c>
      <c r="Y73" s="4">
        <v>0.3</v>
      </c>
      <c r="Z73">
        <f t="shared" si="9"/>
        <v>81.37254901960786</v>
      </c>
      <c r="AA73">
        <f t="shared" si="5"/>
        <v>2.5736222906248094</v>
      </c>
      <c r="AB73">
        <f t="shared" si="6"/>
        <v>32.79140167042906</v>
      </c>
      <c r="AC73">
        <f t="shared" si="7"/>
        <v>0.39373814041745736</v>
      </c>
      <c r="AD73">
        <f t="shared" si="8"/>
        <v>1.0000000000012221E-3</v>
      </c>
      <c r="AF73">
        <v>15</v>
      </c>
      <c r="AG73">
        <f>$AA$3*AF73/($AA$4+AF73^$AA$5)</f>
        <v>24.48525227020944</v>
      </c>
    </row>
    <row r="74" spans="1:33">
      <c r="A74" s="4">
        <v>110</v>
      </c>
      <c r="B74" s="4" t="s">
        <v>1395</v>
      </c>
      <c r="C74" s="4">
        <v>32</v>
      </c>
      <c r="D74" s="4">
        <v>17</v>
      </c>
      <c r="E74" s="4">
        <v>13</v>
      </c>
      <c r="F74" s="4" t="s">
        <v>1519</v>
      </c>
      <c r="G74" s="4" t="s">
        <v>1524</v>
      </c>
      <c r="H74" s="4">
        <v>5</v>
      </c>
      <c r="I74" s="4">
        <v>29.6</v>
      </c>
      <c r="J74" s="4">
        <v>34.6</v>
      </c>
      <c r="K74" s="4">
        <v>36</v>
      </c>
      <c r="L74" s="4">
        <v>31</v>
      </c>
      <c r="M74" s="4">
        <v>148</v>
      </c>
      <c r="N74" s="4">
        <v>151</v>
      </c>
      <c r="O74" s="4">
        <v>10.8</v>
      </c>
      <c r="P74" s="4">
        <v>32300</v>
      </c>
      <c r="Q74" s="4">
        <v>1.7</v>
      </c>
      <c r="R74" s="4">
        <v>5.5</v>
      </c>
      <c r="S74" s="4">
        <v>59</v>
      </c>
      <c r="T74" s="4">
        <v>11</v>
      </c>
      <c r="U74" s="4">
        <v>355</v>
      </c>
      <c r="V74" s="4">
        <v>3.9</v>
      </c>
      <c r="W74" s="4">
        <v>4.3</v>
      </c>
      <c r="X74" s="4">
        <v>980</v>
      </c>
      <c r="Y74" s="4">
        <v>0.9</v>
      </c>
      <c r="Z74">
        <f t="shared" si="9"/>
        <v>76.470588235294116</v>
      </c>
      <c r="AA74">
        <f t="shared" si="5"/>
        <v>2.5516912872275799</v>
      </c>
      <c r="AB74">
        <f t="shared" si="6"/>
        <v>109.16715495739605</v>
      </c>
      <c r="AC74">
        <f t="shared" si="7"/>
        <v>0.39814814814814808</v>
      </c>
      <c r="AD74">
        <f t="shared" si="8"/>
        <v>-7.0000000000014495E-3</v>
      </c>
    </row>
    <row r="75" spans="1:33">
      <c r="A75" s="4">
        <v>118</v>
      </c>
      <c r="B75" s="4" t="s">
        <v>1360</v>
      </c>
      <c r="C75" s="4">
        <v>32</v>
      </c>
      <c r="D75" s="4">
        <v>13</v>
      </c>
      <c r="E75" s="4">
        <v>10</v>
      </c>
      <c r="F75" s="4" t="s">
        <v>1519</v>
      </c>
      <c r="G75" s="4" t="s">
        <v>1524</v>
      </c>
      <c r="H75" s="4">
        <v>4.5999999999999996</v>
      </c>
      <c r="I75" s="4">
        <v>16</v>
      </c>
      <c r="J75" s="4">
        <v>20.6</v>
      </c>
      <c r="K75" s="4">
        <v>34</v>
      </c>
      <c r="L75" s="4">
        <v>26</v>
      </c>
      <c r="M75" s="4">
        <v>164</v>
      </c>
      <c r="N75" s="4">
        <v>145</v>
      </c>
      <c r="O75" s="4">
        <v>5.4</v>
      </c>
      <c r="P75" s="4">
        <v>43000</v>
      </c>
      <c r="Q75" s="4">
        <v>1.24</v>
      </c>
      <c r="R75" s="4">
        <v>5.3</v>
      </c>
      <c r="S75" s="4">
        <v>29</v>
      </c>
      <c r="T75" s="4">
        <v>4.5</v>
      </c>
      <c r="U75" s="4">
        <v>348</v>
      </c>
      <c r="V75" s="4">
        <v>1.6</v>
      </c>
      <c r="W75" s="4">
        <v>2.2000000000000002</v>
      </c>
      <c r="X75" s="4">
        <v>1200</v>
      </c>
      <c r="Y75" s="4">
        <v>0.7</v>
      </c>
      <c r="Z75">
        <f t="shared" si="9"/>
        <v>76.92307692307692</v>
      </c>
      <c r="AA75">
        <f t="shared" si="5"/>
        <v>2.9086191333511331</v>
      </c>
      <c r="AB75">
        <f t="shared" si="6"/>
        <v>50.28768259587364</v>
      </c>
      <c r="AC75">
        <f t="shared" si="7"/>
        <v>0.40740740740740744</v>
      </c>
      <c r="AD75">
        <f t="shared" si="8"/>
        <v>-9.9999999999997868E-3</v>
      </c>
    </row>
    <row r="76" spans="1:33">
      <c r="A76" s="4">
        <v>138</v>
      </c>
      <c r="B76" s="4" t="s">
        <v>1416</v>
      </c>
      <c r="C76" s="4">
        <v>32</v>
      </c>
      <c r="D76" s="4">
        <v>12</v>
      </c>
      <c r="E76" s="4">
        <v>13</v>
      </c>
      <c r="F76" s="4" t="s">
        <v>1519</v>
      </c>
      <c r="G76" s="4" t="s">
        <v>1524</v>
      </c>
      <c r="H76" s="4">
        <v>6.1</v>
      </c>
      <c r="I76" s="4">
        <v>11.7</v>
      </c>
      <c r="J76" s="4">
        <v>17.8</v>
      </c>
      <c r="K76" s="4">
        <v>35</v>
      </c>
      <c r="L76" s="4">
        <v>23</v>
      </c>
      <c r="M76" s="4">
        <v>160</v>
      </c>
      <c r="N76" s="4">
        <v>141</v>
      </c>
      <c r="O76" s="4">
        <v>4.0999999999999996</v>
      </c>
      <c r="P76" s="4">
        <v>47500</v>
      </c>
      <c r="Q76" s="4">
        <v>1.28</v>
      </c>
      <c r="R76" s="4">
        <v>6.1</v>
      </c>
      <c r="S76" s="4">
        <v>25</v>
      </c>
      <c r="T76" s="4">
        <v>4.8</v>
      </c>
      <c r="U76" s="4">
        <v>389</v>
      </c>
      <c r="V76" s="4">
        <v>1.9</v>
      </c>
      <c r="W76" s="4">
        <v>1.7</v>
      </c>
      <c r="X76" s="4">
        <v>850</v>
      </c>
      <c r="Y76" s="4">
        <v>1.1000000000000001</v>
      </c>
      <c r="Z76">
        <f t="shared" si="9"/>
        <v>108.33333333333333</v>
      </c>
      <c r="AA76">
        <f t="shared" si="5"/>
        <v>3.0140857523835849</v>
      </c>
      <c r="AB76">
        <f t="shared" si="6"/>
        <v>99.718483360748522</v>
      </c>
      <c r="AC76">
        <f t="shared" si="7"/>
        <v>0.41463414634146345</v>
      </c>
      <c r="AD76">
        <f t="shared" si="8"/>
        <v>-2.9999999999992255E-3</v>
      </c>
    </row>
    <row r="77" spans="1:33">
      <c r="A77" s="4">
        <v>189</v>
      </c>
      <c r="B77" s="7"/>
      <c r="C77" s="4">
        <v>82</v>
      </c>
      <c r="D77" s="4">
        <v>42</v>
      </c>
      <c r="E77" s="4">
        <v>22</v>
      </c>
      <c r="F77" s="4" t="s">
        <v>1519</v>
      </c>
      <c r="G77" s="4" t="s">
        <v>1524</v>
      </c>
      <c r="H77" s="4">
        <v>2.8</v>
      </c>
      <c r="I77" s="4">
        <v>291.89999999999998</v>
      </c>
      <c r="J77" s="4">
        <v>294.7</v>
      </c>
      <c r="K77" s="4">
        <v>16</v>
      </c>
      <c r="L77" s="4">
        <v>16</v>
      </c>
      <c r="M77" s="4">
        <v>130</v>
      </c>
      <c r="N77" s="4">
        <v>102</v>
      </c>
      <c r="O77" s="4">
        <v>47</v>
      </c>
      <c r="P77" s="4">
        <v>44300</v>
      </c>
      <c r="Q77" s="4">
        <v>1.2</v>
      </c>
      <c r="R77" s="4">
        <v>5.3</v>
      </c>
      <c r="S77" s="4">
        <v>249</v>
      </c>
      <c r="T77" s="4">
        <v>25.6</v>
      </c>
      <c r="U77" s="4">
        <v>409</v>
      </c>
      <c r="V77" s="4">
        <v>10.5</v>
      </c>
      <c r="W77" s="4">
        <v>23.3</v>
      </c>
      <c r="X77" s="4">
        <v>1840</v>
      </c>
      <c r="Y77" s="4">
        <v>0.5</v>
      </c>
      <c r="Z77">
        <f t="shared" si="9"/>
        <v>52.38095238095238</v>
      </c>
      <c r="AA77">
        <f t="shared" si="5"/>
        <v>1.2959741798963631</v>
      </c>
      <c r="AB77">
        <f t="shared" si="6"/>
        <v>428.65668515951813</v>
      </c>
      <c r="AC77">
        <f t="shared" si="7"/>
        <v>0.49574468085106382</v>
      </c>
      <c r="AD77">
        <f t="shared" si="8"/>
        <v>6.6000000000002501E-2</v>
      </c>
    </row>
    <row r="78" spans="1:33">
      <c r="A78" s="4">
        <v>208</v>
      </c>
      <c r="B78" s="6" t="s">
        <v>1453</v>
      </c>
      <c r="C78" s="4">
        <v>119</v>
      </c>
      <c r="D78" s="4">
        <v>29</v>
      </c>
      <c r="E78" s="4">
        <v>22</v>
      </c>
      <c r="F78" s="4" t="s">
        <v>1519</v>
      </c>
      <c r="G78" s="4" t="s">
        <v>1524</v>
      </c>
      <c r="H78" s="4">
        <v>3</v>
      </c>
      <c r="I78" s="4">
        <v>59</v>
      </c>
      <c r="J78" s="4">
        <v>62</v>
      </c>
      <c r="K78" s="4">
        <v>17</v>
      </c>
      <c r="L78" s="4">
        <v>17</v>
      </c>
      <c r="M78" s="93" t="s">
        <v>1425</v>
      </c>
      <c r="N78" s="4">
        <v>124</v>
      </c>
      <c r="O78" s="4">
        <v>10.3</v>
      </c>
      <c r="P78" s="4">
        <v>42700</v>
      </c>
      <c r="Q78" s="4">
        <v>1.35</v>
      </c>
      <c r="R78" s="4">
        <v>5.8</v>
      </c>
      <c r="S78" s="4">
        <v>60</v>
      </c>
      <c r="T78" s="4">
        <v>9.8000000000000007</v>
      </c>
      <c r="U78" s="4">
        <v>422</v>
      </c>
      <c r="V78" s="4">
        <v>4.0999999999999996</v>
      </c>
      <c r="W78" s="4">
        <v>4.5999999999999996</v>
      </c>
      <c r="X78" s="4">
        <v>1050</v>
      </c>
      <c r="Y78" s="4">
        <v>0.9</v>
      </c>
      <c r="Z78">
        <f t="shared" si="9"/>
        <v>75.862068965517238</v>
      </c>
      <c r="AA78">
        <f t="shared" si="5"/>
        <v>2.5091487576906122</v>
      </c>
      <c r="AB78">
        <f t="shared" si="6"/>
        <v>379.89328214983345</v>
      </c>
      <c r="AC78">
        <f t="shared" si="7"/>
        <v>0.44660194174757273</v>
      </c>
      <c r="AD78">
        <f t="shared" si="8"/>
        <v>3.9999999999995595E-3</v>
      </c>
    </row>
    <row r="79" spans="1:33">
      <c r="A79" s="4">
        <v>210</v>
      </c>
      <c r="B79" s="7"/>
      <c r="C79" s="4">
        <v>119</v>
      </c>
      <c r="D79" s="4">
        <v>41</v>
      </c>
      <c r="E79" s="4">
        <v>33</v>
      </c>
      <c r="F79" s="4" t="s">
        <v>1519</v>
      </c>
      <c r="G79" s="4" t="s">
        <v>1524</v>
      </c>
      <c r="H79" s="4">
        <v>5.4</v>
      </c>
      <c r="I79" s="4">
        <v>73.599999999999994</v>
      </c>
      <c r="J79" s="4">
        <v>79</v>
      </c>
      <c r="K79" s="4">
        <v>29</v>
      </c>
      <c r="L79" s="4">
        <v>27</v>
      </c>
      <c r="M79" s="93" t="s">
        <v>1425</v>
      </c>
      <c r="N79" s="4">
        <v>132</v>
      </c>
      <c r="O79" s="4">
        <v>21.6</v>
      </c>
      <c r="P79" s="4">
        <v>36300</v>
      </c>
      <c r="Q79" s="4">
        <v>1.6</v>
      </c>
      <c r="R79" s="4">
        <v>5.8</v>
      </c>
      <c r="S79" s="4">
        <v>125</v>
      </c>
      <c r="T79" s="4">
        <v>16.8</v>
      </c>
      <c r="U79" s="4">
        <v>403</v>
      </c>
      <c r="V79" s="4">
        <v>6.8</v>
      </c>
      <c r="W79" s="4">
        <v>9.3000000000000007</v>
      </c>
      <c r="X79" s="4">
        <v>1290</v>
      </c>
      <c r="Y79" s="4">
        <v>0.7</v>
      </c>
      <c r="Z79">
        <f t="shared" si="9"/>
        <v>80.487804878048777</v>
      </c>
      <c r="AA79">
        <f t="shared" si="5"/>
        <v>2.0067590646042217</v>
      </c>
      <c r="AB79">
        <f t="shared" si="6"/>
        <v>960.58098367949265</v>
      </c>
      <c r="AC79">
        <f t="shared" si="7"/>
        <v>0.43055555555555558</v>
      </c>
      <c r="AD79">
        <f t="shared" si="8"/>
        <v>-2.3999999999997357E-2</v>
      </c>
    </row>
    <row r="80" spans="1:33">
      <c r="A80" s="4">
        <v>3</v>
      </c>
      <c r="B80" s="6" t="s">
        <v>1521</v>
      </c>
      <c r="C80" s="4">
        <v>18</v>
      </c>
      <c r="D80" s="4">
        <v>13.8</v>
      </c>
      <c r="E80" s="4">
        <v>7.4</v>
      </c>
      <c r="F80" s="4" t="s">
        <v>1519</v>
      </c>
      <c r="G80" s="4" t="s">
        <v>1525</v>
      </c>
      <c r="H80" s="4">
        <v>5</v>
      </c>
      <c r="I80" s="4">
        <v>46.53</v>
      </c>
      <c r="J80" s="4">
        <v>51.53</v>
      </c>
      <c r="K80" s="4">
        <v>34</v>
      </c>
      <c r="L80" s="4">
        <v>31</v>
      </c>
      <c r="M80" s="4">
        <v>150</v>
      </c>
      <c r="N80" s="4">
        <v>163</v>
      </c>
      <c r="O80" s="4">
        <v>15.83</v>
      </c>
      <c r="P80" s="4">
        <v>38100</v>
      </c>
      <c r="Q80" s="4">
        <v>1.58</v>
      </c>
      <c r="R80" s="4">
        <v>6</v>
      </c>
      <c r="S80" s="4">
        <v>95</v>
      </c>
      <c r="T80" s="4" t="s">
        <v>1461</v>
      </c>
      <c r="U80" s="4" t="s">
        <v>1461</v>
      </c>
      <c r="V80" s="4" t="s">
        <v>1461</v>
      </c>
      <c r="W80" s="4">
        <v>6.03</v>
      </c>
      <c r="X80" s="4" t="s">
        <v>1461</v>
      </c>
      <c r="Y80" s="4" t="s">
        <v>1461</v>
      </c>
      <c r="Z80">
        <f t="shared" si="9"/>
        <v>53.623188405797102</v>
      </c>
      <c r="AA80">
        <f t="shared" si="5"/>
        <v>2.3273879327721305</v>
      </c>
      <c r="AB80">
        <f t="shared" si="6"/>
        <v>25.731393184585801</v>
      </c>
      <c r="AC80">
        <f t="shared" si="7"/>
        <v>0.38092229943145928</v>
      </c>
      <c r="AD80">
        <f t="shared" si="8"/>
        <v>2.8900000000000148E-2</v>
      </c>
      <c r="AF80">
        <v>1</v>
      </c>
      <c r="AG80">
        <f t="shared" ref="AG80:AG87" si="10">$AA$3*AF80/($AA$4+AF80^$AA$5)</f>
        <v>3.1818181818181817</v>
      </c>
    </row>
    <row r="81" spans="1:33">
      <c r="A81" s="4">
        <v>6</v>
      </c>
      <c r="B81" s="4" t="s">
        <v>1336</v>
      </c>
      <c r="C81" s="4">
        <v>19</v>
      </c>
      <c r="D81" s="4">
        <v>9.9</v>
      </c>
      <c r="E81" s="4">
        <v>8.6</v>
      </c>
      <c r="F81" s="4" t="s">
        <v>1519</v>
      </c>
      <c r="G81" s="4" t="s">
        <v>1525</v>
      </c>
      <c r="H81" s="4">
        <v>6.35</v>
      </c>
      <c r="I81" s="4">
        <v>10.75</v>
      </c>
      <c r="J81" s="4">
        <v>17.100000000000001</v>
      </c>
      <c r="K81" s="4">
        <v>38</v>
      </c>
      <c r="L81" s="4">
        <v>24</v>
      </c>
      <c r="M81" s="4">
        <v>167</v>
      </c>
      <c r="N81" s="4">
        <v>183</v>
      </c>
      <c r="O81" s="4">
        <v>4.05</v>
      </c>
      <c r="P81" s="4">
        <v>27500</v>
      </c>
      <c r="Q81" s="4">
        <v>1.93</v>
      </c>
      <c r="R81" s="4">
        <v>5.3</v>
      </c>
      <c r="S81" s="4">
        <v>21</v>
      </c>
      <c r="T81" s="4">
        <v>3.6</v>
      </c>
      <c r="U81" s="4">
        <v>339</v>
      </c>
      <c r="V81" s="4">
        <v>1.2</v>
      </c>
      <c r="W81" s="4">
        <v>1.43</v>
      </c>
      <c r="X81" s="4">
        <v>1120</v>
      </c>
      <c r="Y81" s="4">
        <v>0.8</v>
      </c>
      <c r="Z81">
        <f t="shared" si="9"/>
        <v>86.868686868686865</v>
      </c>
      <c r="AA81">
        <f t="shared" si="5"/>
        <v>3.0756370003453797</v>
      </c>
      <c r="AB81">
        <f t="shared" si="6"/>
        <v>30.518586551952996</v>
      </c>
      <c r="AC81">
        <f t="shared" si="7"/>
        <v>0.35308641975308641</v>
      </c>
      <c r="AD81">
        <f t="shared" si="8"/>
        <v>-3.0999999999998806E-3</v>
      </c>
      <c r="AF81">
        <v>2.5</v>
      </c>
      <c r="AG81">
        <f t="shared" si="10"/>
        <v>7.1247638246731659</v>
      </c>
    </row>
    <row r="82" spans="1:33">
      <c r="A82" s="4">
        <v>10</v>
      </c>
      <c r="B82" s="4" t="s">
        <v>1340</v>
      </c>
      <c r="C82" s="4">
        <v>20</v>
      </c>
      <c r="D82" s="4">
        <v>7.6</v>
      </c>
      <c r="E82" s="4">
        <v>7.3</v>
      </c>
      <c r="F82" s="4" t="s">
        <v>1519</v>
      </c>
      <c r="G82" s="4" t="s">
        <v>1525</v>
      </c>
      <c r="H82" s="4">
        <v>7.66</v>
      </c>
      <c r="I82" s="4">
        <v>5.69</v>
      </c>
      <c r="J82" s="4">
        <v>13.35</v>
      </c>
      <c r="K82" s="4">
        <v>38</v>
      </c>
      <c r="L82" s="4">
        <v>16</v>
      </c>
      <c r="M82" s="4">
        <v>168</v>
      </c>
      <c r="N82" s="4">
        <v>161</v>
      </c>
      <c r="O82" s="4">
        <v>2.14</v>
      </c>
      <c r="P82" s="4">
        <v>37600</v>
      </c>
      <c r="Q82" s="4">
        <v>1.55</v>
      </c>
      <c r="R82" s="4">
        <v>5.8</v>
      </c>
      <c r="S82" s="4">
        <v>12</v>
      </c>
      <c r="T82" s="4">
        <v>2.9</v>
      </c>
      <c r="U82" s="4">
        <v>348</v>
      </c>
      <c r="V82" s="4">
        <v>1</v>
      </c>
      <c r="W82" s="4">
        <v>0.82</v>
      </c>
      <c r="X82" s="4">
        <v>740</v>
      </c>
      <c r="Y82" s="4">
        <v>1.2</v>
      </c>
      <c r="Z82">
        <f t="shared" si="9"/>
        <v>96.05263157894737</v>
      </c>
      <c r="AA82">
        <f t="shared" si="5"/>
        <v>3.229844346515403</v>
      </c>
      <c r="AB82">
        <f t="shared" si="6"/>
        <v>16.566167043592625</v>
      </c>
      <c r="AC82">
        <f t="shared" si="7"/>
        <v>0.38317757009345788</v>
      </c>
      <c r="AD82">
        <f t="shared" si="8"/>
        <v>1.9999999999997797E-4</v>
      </c>
      <c r="AF82">
        <v>6</v>
      </c>
      <c r="AG82">
        <f t="shared" si="10"/>
        <v>13.985312799344726</v>
      </c>
    </row>
    <row r="83" spans="1:33">
      <c r="A83" s="4">
        <v>13</v>
      </c>
      <c r="B83" s="4" t="s">
        <v>1342</v>
      </c>
      <c r="C83" s="4">
        <v>20</v>
      </c>
      <c r="D83" s="4">
        <v>10.7</v>
      </c>
      <c r="E83" s="4">
        <v>8.6999999999999993</v>
      </c>
      <c r="F83" s="4" t="s">
        <v>1519</v>
      </c>
      <c r="G83" s="4" t="s">
        <v>1525</v>
      </c>
      <c r="H83" s="4">
        <v>5.75</v>
      </c>
      <c r="I83" s="4">
        <v>16.239999999999998</v>
      </c>
      <c r="J83" s="4">
        <v>21.99</v>
      </c>
      <c r="K83" s="4">
        <v>36</v>
      </c>
      <c r="L83" s="4">
        <v>27</v>
      </c>
      <c r="M83" s="4">
        <v>180</v>
      </c>
      <c r="N83" s="4">
        <v>163</v>
      </c>
      <c r="O83" s="4">
        <v>5.9</v>
      </c>
      <c r="P83" s="4">
        <v>30200</v>
      </c>
      <c r="Q83" s="4">
        <v>1.99</v>
      </c>
      <c r="R83" s="4">
        <v>6</v>
      </c>
      <c r="S83" s="4">
        <v>35</v>
      </c>
      <c r="T83" s="4">
        <v>7.6</v>
      </c>
      <c r="U83" s="4">
        <v>356</v>
      </c>
      <c r="V83" s="4">
        <v>2.7</v>
      </c>
      <c r="W83" s="4">
        <v>2.2400000000000002</v>
      </c>
      <c r="X83" s="4">
        <v>780</v>
      </c>
      <c r="Y83" s="4">
        <v>1.2</v>
      </c>
      <c r="Z83">
        <f t="shared" si="9"/>
        <v>81.308411214953267</v>
      </c>
      <c r="AA83">
        <f t="shared" si="5"/>
        <v>2.900606496185369</v>
      </c>
      <c r="AB83">
        <f t="shared" si="6"/>
        <v>33.632965012087332</v>
      </c>
      <c r="AC83">
        <f t="shared" si="7"/>
        <v>0.37966101694915255</v>
      </c>
      <c r="AD83">
        <f t="shared" si="8"/>
        <v>-8.799999999999919E-3</v>
      </c>
      <c r="AF83">
        <v>9</v>
      </c>
      <c r="AG83">
        <f t="shared" si="10"/>
        <v>18.287719058066106</v>
      </c>
    </row>
    <row r="84" spans="1:33">
      <c r="A84" s="4">
        <v>20</v>
      </c>
      <c r="B84" s="4" t="s">
        <v>1342</v>
      </c>
      <c r="C84" s="4">
        <v>20</v>
      </c>
      <c r="D84" s="4">
        <v>10.5</v>
      </c>
      <c r="E84" s="4">
        <v>8.4</v>
      </c>
      <c r="F84" s="4" t="s">
        <v>1519</v>
      </c>
      <c r="G84" s="4" t="s">
        <v>1525</v>
      </c>
      <c r="H84" s="4">
        <v>6.3</v>
      </c>
      <c r="I84" s="4">
        <v>13.5</v>
      </c>
      <c r="J84" s="4">
        <v>19.8</v>
      </c>
      <c r="K84" s="4">
        <v>39</v>
      </c>
      <c r="L84" s="4">
        <v>26</v>
      </c>
      <c r="M84" s="4">
        <v>179</v>
      </c>
      <c r="N84" s="4">
        <v>154</v>
      </c>
      <c r="O84" s="4">
        <v>5.2</v>
      </c>
      <c r="P84" s="4">
        <v>27800</v>
      </c>
      <c r="Q84" s="4">
        <v>2.02</v>
      </c>
      <c r="R84" s="4">
        <v>5.6</v>
      </c>
      <c r="S84" s="4">
        <v>29</v>
      </c>
      <c r="T84" s="4">
        <v>4.0999999999999996</v>
      </c>
      <c r="U84" s="4">
        <v>354</v>
      </c>
      <c r="V84" s="4">
        <v>1.5</v>
      </c>
      <c r="W84" s="4">
        <v>2.0499999999999998</v>
      </c>
      <c r="X84" s="4">
        <v>1270</v>
      </c>
      <c r="Y84" s="4">
        <v>0.7</v>
      </c>
      <c r="Z84">
        <f t="shared" si="9"/>
        <v>80</v>
      </c>
      <c r="AA84">
        <f t="shared" si="5"/>
        <v>2.9392004240462919</v>
      </c>
      <c r="AB84">
        <f t="shared" si="6"/>
        <v>29.820332008736202</v>
      </c>
      <c r="AC84">
        <f t="shared" si="7"/>
        <v>0.39423076923076916</v>
      </c>
      <c r="AD84">
        <f t="shared" si="8"/>
        <v>6.9999999999996732E-3</v>
      </c>
      <c r="AF84">
        <v>16</v>
      </c>
      <c r="AG84">
        <f t="shared" si="10"/>
        <v>25.309896483109789</v>
      </c>
    </row>
    <row r="85" spans="1:33">
      <c r="A85" s="4">
        <v>21</v>
      </c>
      <c r="B85" s="4" t="s">
        <v>1342</v>
      </c>
      <c r="C85" s="4">
        <v>20</v>
      </c>
      <c r="D85" s="4">
        <v>11.6</v>
      </c>
      <c r="E85" s="4">
        <v>8</v>
      </c>
      <c r="F85" s="4" t="s">
        <v>1519</v>
      </c>
      <c r="G85" s="4" t="s">
        <v>1525</v>
      </c>
      <c r="H85" s="4">
        <v>5.75</v>
      </c>
      <c r="I85" s="4">
        <v>29.25</v>
      </c>
      <c r="J85" s="4">
        <v>35</v>
      </c>
      <c r="K85" s="4">
        <v>38</v>
      </c>
      <c r="L85" s="4">
        <v>32</v>
      </c>
      <c r="M85" s="4">
        <v>168</v>
      </c>
      <c r="N85" s="4">
        <v>156</v>
      </c>
      <c r="O85" s="4">
        <v>11.2</v>
      </c>
      <c r="P85" s="4">
        <v>36600</v>
      </c>
      <c r="Q85" s="4">
        <v>1.52</v>
      </c>
      <c r="R85" s="4">
        <v>5.6</v>
      </c>
      <c r="S85" s="4">
        <v>63</v>
      </c>
      <c r="T85" s="4">
        <v>5.7</v>
      </c>
      <c r="U85" s="4">
        <v>309</v>
      </c>
      <c r="V85" s="4">
        <v>1.8</v>
      </c>
      <c r="W85" s="4">
        <v>4.38</v>
      </c>
      <c r="X85" s="4">
        <v>1960</v>
      </c>
      <c r="Y85" s="4">
        <v>0.4</v>
      </c>
      <c r="Z85">
        <f t="shared" si="9"/>
        <v>68.965517241379317</v>
      </c>
      <c r="AA85">
        <f t="shared" si="5"/>
        <v>2.5401777599153696</v>
      </c>
      <c r="AB85">
        <f t="shared" si="6"/>
        <v>29.809658893322752</v>
      </c>
      <c r="AC85">
        <f t="shared" si="7"/>
        <v>0.39107142857142857</v>
      </c>
      <c r="AD85">
        <f t="shared" si="8"/>
        <v>1.2800000000000367E-2</v>
      </c>
      <c r="AF85">
        <v>17</v>
      </c>
      <c r="AG85">
        <f t="shared" si="10"/>
        <v>26.089944924779491</v>
      </c>
    </row>
    <row r="86" spans="1:33">
      <c r="A86" s="4">
        <v>24</v>
      </c>
      <c r="B86" s="4" t="s">
        <v>1363</v>
      </c>
      <c r="C86" s="4">
        <v>20</v>
      </c>
      <c r="D86" s="4">
        <v>11</v>
      </c>
      <c r="E86" s="4">
        <v>7.8</v>
      </c>
      <c r="F86" s="4" t="s">
        <v>1519</v>
      </c>
      <c r="G86" s="4" t="s">
        <v>1525</v>
      </c>
      <c r="H86" s="4">
        <v>5.6</v>
      </c>
      <c r="I86" s="4">
        <v>25.86</v>
      </c>
      <c r="J86" s="4">
        <v>31.46</v>
      </c>
      <c r="K86" s="4">
        <v>41</v>
      </c>
      <c r="L86" s="4">
        <v>33</v>
      </c>
      <c r="M86" s="4">
        <v>178</v>
      </c>
      <c r="N86" s="4">
        <v>173</v>
      </c>
      <c r="O86" s="4">
        <v>10.53</v>
      </c>
      <c r="P86" s="9">
        <v>27400</v>
      </c>
      <c r="Q86" s="4">
        <v>2.27</v>
      </c>
      <c r="R86" s="4">
        <v>6.2</v>
      </c>
      <c r="S86" s="4">
        <v>65</v>
      </c>
      <c r="T86" s="4">
        <v>5</v>
      </c>
      <c r="U86" s="4">
        <v>345</v>
      </c>
      <c r="V86" s="4">
        <v>1.7</v>
      </c>
      <c r="W86" s="4">
        <v>3.86</v>
      </c>
      <c r="X86" s="4">
        <v>2010</v>
      </c>
      <c r="Y86" s="4">
        <v>0.4</v>
      </c>
      <c r="Z86">
        <f t="shared" si="9"/>
        <v>70.909090909090907</v>
      </c>
      <c r="AA86">
        <f t="shared" si="5"/>
        <v>2.6173471877447549</v>
      </c>
      <c r="AB86">
        <f t="shared" si="6"/>
        <v>26.859890172377202</v>
      </c>
      <c r="AC86">
        <f t="shared" si="7"/>
        <v>0.36657169990503324</v>
      </c>
      <c r="AD86">
        <f t="shared" si="8"/>
        <v>7.799999999999585E-3</v>
      </c>
      <c r="AF86">
        <v>20</v>
      </c>
      <c r="AG86">
        <f t="shared" si="10"/>
        <v>28.200006876921417</v>
      </c>
    </row>
    <row r="87" spans="1:33">
      <c r="A87" s="4">
        <v>25</v>
      </c>
      <c r="B87" s="4" t="s">
        <v>1363</v>
      </c>
      <c r="C87" s="4">
        <v>20</v>
      </c>
      <c r="D87" s="4">
        <v>12</v>
      </c>
      <c r="E87" s="4">
        <v>7.5</v>
      </c>
      <c r="F87" s="4" t="s">
        <v>1519</v>
      </c>
      <c r="G87" s="4" t="s">
        <v>1525</v>
      </c>
      <c r="H87" s="4">
        <v>3.5</v>
      </c>
      <c r="I87" s="4">
        <v>34.71</v>
      </c>
      <c r="J87" s="4">
        <v>38.21</v>
      </c>
      <c r="K87" s="4">
        <v>36</v>
      </c>
      <c r="L87" s="4">
        <v>33</v>
      </c>
      <c r="M87" s="4">
        <v>166</v>
      </c>
      <c r="N87" s="4">
        <v>152</v>
      </c>
      <c r="O87" s="4">
        <v>12.46</v>
      </c>
      <c r="P87" s="4">
        <v>41300</v>
      </c>
      <c r="Q87" s="4">
        <v>1.54</v>
      </c>
      <c r="R87" s="4">
        <v>6.4</v>
      </c>
      <c r="S87" s="4">
        <v>80</v>
      </c>
      <c r="T87" s="4">
        <v>4.5999999999999996</v>
      </c>
      <c r="U87" s="4">
        <v>389</v>
      </c>
      <c r="V87" s="4">
        <v>1.8</v>
      </c>
      <c r="W87" s="4">
        <v>4.95</v>
      </c>
      <c r="X87" s="4">
        <v>2710</v>
      </c>
      <c r="Y87" s="4">
        <v>0.4</v>
      </c>
      <c r="Z87">
        <f t="shared" si="9"/>
        <v>62.5</v>
      </c>
      <c r="AA87">
        <f t="shared" si="5"/>
        <v>2.4616042329485999</v>
      </c>
      <c r="AB87">
        <f t="shared" si="6"/>
        <v>25.385431905441461</v>
      </c>
      <c r="AC87">
        <f t="shared" si="7"/>
        <v>0.3972712680577849</v>
      </c>
      <c r="AD87">
        <f t="shared" si="8"/>
        <v>1.3999999999999346E-2</v>
      </c>
      <c r="AF87">
        <v>21</v>
      </c>
      <c r="AG87">
        <f t="shared" si="10"/>
        <v>28.837018094155226</v>
      </c>
    </row>
    <row r="88" spans="1:33">
      <c r="A88" s="4">
        <v>43</v>
      </c>
      <c r="B88" s="4" t="s">
        <v>1374</v>
      </c>
      <c r="C88" s="4">
        <v>20</v>
      </c>
      <c r="D88" s="4">
        <v>9.8000000000000007</v>
      </c>
      <c r="E88" s="4">
        <v>7.2</v>
      </c>
      <c r="F88" s="4" t="s">
        <v>1519</v>
      </c>
      <c r="G88" s="4" t="s">
        <v>1525</v>
      </c>
      <c r="H88" s="4">
        <v>5.45</v>
      </c>
      <c r="I88" s="4">
        <v>20.170000000000002</v>
      </c>
      <c r="J88" s="4">
        <v>25.62</v>
      </c>
      <c r="K88" s="4">
        <v>43</v>
      </c>
      <c r="L88" s="4">
        <v>34</v>
      </c>
      <c r="M88" s="4">
        <v>162</v>
      </c>
      <c r="N88" s="4" t="s">
        <v>1373</v>
      </c>
      <c r="O88" s="4">
        <v>8.76</v>
      </c>
      <c r="P88" s="4">
        <v>41000</v>
      </c>
      <c r="Q88" s="4">
        <v>1.46</v>
      </c>
      <c r="R88" s="4">
        <v>6</v>
      </c>
      <c r="S88" s="4">
        <v>53</v>
      </c>
      <c r="T88" s="4">
        <v>4.2</v>
      </c>
      <c r="U88" s="4">
        <v>382</v>
      </c>
      <c r="V88" s="4">
        <v>1.6</v>
      </c>
      <c r="W88" s="4">
        <v>3.42</v>
      </c>
      <c r="X88" s="4">
        <v>2090</v>
      </c>
      <c r="Y88" s="4">
        <v>0.5</v>
      </c>
      <c r="Z88">
        <f t="shared" si="9"/>
        <v>73.469387755102034</v>
      </c>
      <c r="AA88">
        <f t="shared" si="5"/>
        <v>2.6872865115589919</v>
      </c>
      <c r="AB88">
        <f t="shared" si="6"/>
        <v>20.364583028757416</v>
      </c>
      <c r="AC88">
        <f t="shared" si="7"/>
        <v>0.3904109589041096</v>
      </c>
      <c r="AD88" t="e">
        <f t="shared" si="8"/>
        <v>#VALUE!</v>
      </c>
    </row>
    <row r="89" spans="1:33">
      <c r="A89" s="4">
        <v>60</v>
      </c>
      <c r="B89" s="4" t="s">
        <v>1382</v>
      </c>
      <c r="C89" s="4">
        <v>21</v>
      </c>
      <c r="D89" s="4">
        <v>7.5</v>
      </c>
      <c r="E89" s="4">
        <v>8.4</v>
      </c>
      <c r="F89" s="4" t="s">
        <v>1519</v>
      </c>
      <c r="G89" s="4" t="s">
        <v>1525</v>
      </c>
      <c r="H89" s="4">
        <v>12.65</v>
      </c>
      <c r="I89" s="4">
        <v>9.9499999999999993</v>
      </c>
      <c r="J89" s="4">
        <v>22.6</v>
      </c>
      <c r="K89" s="4">
        <v>44</v>
      </c>
      <c r="L89" s="4">
        <v>19</v>
      </c>
      <c r="M89" s="4">
        <v>170</v>
      </c>
      <c r="N89" s="4">
        <v>182</v>
      </c>
      <c r="O89" s="4">
        <v>4.34</v>
      </c>
      <c r="P89" s="4">
        <v>34100</v>
      </c>
      <c r="Q89" s="4">
        <v>1.49</v>
      </c>
      <c r="R89" s="4">
        <v>5.0999999999999996</v>
      </c>
      <c r="S89" s="4">
        <v>22</v>
      </c>
      <c r="T89" s="4">
        <v>1.9</v>
      </c>
      <c r="U89" s="4">
        <v>422</v>
      </c>
      <c r="V89" s="4">
        <v>0.8</v>
      </c>
      <c r="W89" s="4">
        <v>1.54</v>
      </c>
      <c r="X89" s="4">
        <v>2280</v>
      </c>
      <c r="Y89" s="4">
        <v>0.5</v>
      </c>
      <c r="Z89">
        <f t="shared" si="9"/>
        <v>112</v>
      </c>
      <c r="AA89">
        <f t="shared" si="5"/>
        <v>3.0501300308564567</v>
      </c>
      <c r="AB89">
        <f t="shared" si="6"/>
        <v>28.621108686743945</v>
      </c>
      <c r="AC89">
        <f t="shared" si="7"/>
        <v>0.35483870967741937</v>
      </c>
      <c r="AD89">
        <f t="shared" si="8"/>
        <v>2.8000000000005798E-3</v>
      </c>
    </row>
    <row r="90" spans="1:33">
      <c r="A90" s="4">
        <v>69</v>
      </c>
      <c r="B90" s="4" t="s">
        <v>1483</v>
      </c>
      <c r="C90" s="4">
        <v>24</v>
      </c>
      <c r="D90" s="4">
        <v>11.2</v>
      </c>
      <c r="E90" s="4">
        <v>8.6</v>
      </c>
      <c r="F90" s="4" t="s">
        <v>1519</v>
      </c>
      <c r="G90" s="4" t="s">
        <v>1525</v>
      </c>
      <c r="H90" s="4">
        <v>3.3</v>
      </c>
      <c r="I90" s="4">
        <v>10.95</v>
      </c>
      <c r="J90" s="4">
        <v>14.25</v>
      </c>
      <c r="K90" s="4">
        <v>40</v>
      </c>
      <c r="L90" s="4">
        <v>31</v>
      </c>
      <c r="M90" s="4">
        <v>165</v>
      </c>
      <c r="N90" s="4">
        <v>159</v>
      </c>
      <c r="O90" s="4">
        <v>4.38</v>
      </c>
      <c r="P90" s="4">
        <v>37700</v>
      </c>
      <c r="Q90" s="4">
        <v>1.47</v>
      </c>
      <c r="R90" s="4">
        <v>5.5</v>
      </c>
      <c r="S90" s="4">
        <v>24</v>
      </c>
      <c r="T90" s="4">
        <v>4.2</v>
      </c>
      <c r="U90" s="4">
        <v>347</v>
      </c>
      <c r="V90" s="4">
        <v>1.5</v>
      </c>
      <c r="W90" s="4">
        <v>1.69</v>
      </c>
      <c r="X90" s="4">
        <v>1040</v>
      </c>
      <c r="Y90" s="4">
        <v>0.9</v>
      </c>
      <c r="Z90">
        <f t="shared" si="9"/>
        <v>76.785714285714292</v>
      </c>
      <c r="AA90">
        <f t="shared" si="5"/>
        <v>3.016303377790718</v>
      </c>
      <c r="AB90">
        <f t="shared" si="6"/>
        <v>31.177667968871337</v>
      </c>
      <c r="AC90">
        <f t="shared" si="7"/>
        <v>0.38584474885844749</v>
      </c>
      <c r="AD90">
        <f t="shared" si="8"/>
        <v>-2.9000000000003467E-3</v>
      </c>
    </row>
    <row r="91" spans="1:33">
      <c r="A91" s="4">
        <v>75</v>
      </c>
      <c r="B91" s="4" t="s">
        <v>1369</v>
      </c>
      <c r="C91" s="4">
        <v>24</v>
      </c>
      <c r="D91" s="4">
        <v>14.6</v>
      </c>
      <c r="E91" s="4">
        <v>12.6</v>
      </c>
      <c r="F91" s="4" t="s">
        <v>1519</v>
      </c>
      <c r="G91" s="4" t="s">
        <v>1525</v>
      </c>
      <c r="H91" s="4">
        <v>5.3</v>
      </c>
      <c r="I91" s="4">
        <v>22.27</v>
      </c>
      <c r="J91" s="4">
        <v>27.57</v>
      </c>
      <c r="K91" s="4">
        <v>28</v>
      </c>
      <c r="L91" s="4">
        <v>23</v>
      </c>
      <c r="M91" s="4">
        <v>173</v>
      </c>
      <c r="N91" s="4">
        <v>167</v>
      </c>
      <c r="O91" s="4">
        <v>6.24</v>
      </c>
      <c r="P91" s="4">
        <v>33000</v>
      </c>
      <c r="Q91" s="4">
        <v>1.71</v>
      </c>
      <c r="R91" s="4">
        <v>5.6</v>
      </c>
      <c r="S91" s="4">
        <v>35</v>
      </c>
      <c r="T91" s="4">
        <v>8.1</v>
      </c>
      <c r="U91" s="4">
        <v>365</v>
      </c>
      <c r="V91" s="4">
        <v>3</v>
      </c>
      <c r="W91" s="4">
        <v>2.34</v>
      </c>
      <c r="X91" s="4">
        <v>770</v>
      </c>
      <c r="Y91" s="4">
        <v>1.3</v>
      </c>
      <c r="Z91">
        <f t="shared" si="9"/>
        <v>86.301369863013704</v>
      </c>
      <c r="AA91">
        <f t="shared" si="5"/>
        <v>2.8808276566916242</v>
      </c>
      <c r="AB91">
        <f t="shared" si="6"/>
        <v>94.462311038930423</v>
      </c>
      <c r="AC91">
        <f t="shared" si="7"/>
        <v>0.37499999999999994</v>
      </c>
      <c r="AD91">
        <f t="shared" si="8"/>
        <v>7.799999999999585E-3</v>
      </c>
    </row>
    <row r="92" spans="1:33">
      <c r="A92" s="4">
        <v>85</v>
      </c>
      <c r="B92" s="7"/>
      <c r="C92" s="4">
        <v>25</v>
      </c>
      <c r="D92" s="4">
        <v>12.2</v>
      </c>
      <c r="E92" s="4">
        <v>10.4</v>
      </c>
      <c r="F92" s="4" t="s">
        <v>1519</v>
      </c>
      <c r="G92" s="4" t="s">
        <v>1525</v>
      </c>
      <c r="H92" s="4">
        <v>6.4</v>
      </c>
      <c r="I92" s="4">
        <v>18.05</v>
      </c>
      <c r="J92" s="4">
        <v>24.45</v>
      </c>
      <c r="K92" s="4">
        <v>32</v>
      </c>
      <c r="L92" s="4">
        <v>24</v>
      </c>
      <c r="M92" s="4">
        <v>149</v>
      </c>
      <c r="N92" s="4">
        <v>106</v>
      </c>
      <c r="O92" s="4">
        <v>5.75</v>
      </c>
      <c r="P92" s="4">
        <v>25500</v>
      </c>
      <c r="Q92" s="4">
        <v>2.1</v>
      </c>
      <c r="R92" s="4">
        <v>5.4</v>
      </c>
      <c r="S92" s="4">
        <v>31</v>
      </c>
      <c r="T92" s="4">
        <v>4.7</v>
      </c>
      <c r="U92" s="4">
        <v>382</v>
      </c>
      <c r="V92" s="4">
        <v>1.8</v>
      </c>
      <c r="W92" s="4">
        <v>2.79</v>
      </c>
      <c r="X92" s="4">
        <v>1220</v>
      </c>
      <c r="Y92" s="4">
        <v>1.7</v>
      </c>
      <c r="Z92">
        <f t="shared" si="9"/>
        <v>85.245901639344268</v>
      </c>
      <c r="AA92">
        <f t="shared" si="5"/>
        <v>2.7959892635560593</v>
      </c>
      <c r="AB92">
        <f t="shared" si="6"/>
        <v>57.820979279954727</v>
      </c>
      <c r="AC92">
        <f t="shared" si="7"/>
        <v>0.48521739130434782</v>
      </c>
      <c r="AD92">
        <f t="shared" si="8"/>
        <v>-2.6000000000001577E-3</v>
      </c>
    </row>
    <row r="93" spans="1:33">
      <c r="A93" s="4">
        <v>86</v>
      </c>
      <c r="B93" s="7"/>
      <c r="C93" s="4">
        <v>27</v>
      </c>
      <c r="D93" s="4">
        <v>15.8</v>
      </c>
      <c r="E93" s="4">
        <v>10.199999999999999</v>
      </c>
      <c r="F93" s="4" t="s">
        <v>1519</v>
      </c>
      <c r="G93" s="4" t="s">
        <v>1525</v>
      </c>
      <c r="H93" s="4">
        <v>4.2</v>
      </c>
      <c r="I93" s="4">
        <v>29.93</v>
      </c>
      <c r="J93" s="4">
        <v>34.130000000000003</v>
      </c>
      <c r="K93" s="4">
        <v>30</v>
      </c>
      <c r="L93" s="4">
        <v>26</v>
      </c>
      <c r="M93" s="4">
        <v>135</v>
      </c>
      <c r="N93" s="4">
        <v>101</v>
      </c>
      <c r="O93" s="4">
        <v>8.93</v>
      </c>
      <c r="P93" s="4">
        <v>40800</v>
      </c>
      <c r="Q93" s="4">
        <v>1.32</v>
      </c>
      <c r="R93" s="4">
        <v>5.4</v>
      </c>
      <c r="S93" s="4">
        <v>45</v>
      </c>
      <c r="T93" s="4">
        <v>5.8</v>
      </c>
      <c r="U93" s="4">
        <v>407</v>
      </c>
      <c r="V93" s="4">
        <v>2.4</v>
      </c>
      <c r="W93" s="4">
        <v>4.4400000000000004</v>
      </c>
      <c r="X93" s="4">
        <v>1540</v>
      </c>
      <c r="Y93" s="4">
        <v>1.3</v>
      </c>
      <c r="Z93">
        <f t="shared" si="9"/>
        <v>64.556962025316452</v>
      </c>
      <c r="AA93">
        <f t="shared" si="5"/>
        <v>2.5316242260879753</v>
      </c>
      <c r="AB93">
        <f t="shared" si="6"/>
        <v>58.803987009920824</v>
      </c>
      <c r="AC93">
        <f t="shared" si="7"/>
        <v>0.49720044792833151</v>
      </c>
      <c r="AD93">
        <f t="shared" si="8"/>
        <v>-5.5999999999993832E-3</v>
      </c>
    </row>
    <row r="94" spans="1:33">
      <c r="A94" s="4">
        <v>103</v>
      </c>
      <c r="B94" s="4" t="s">
        <v>1342</v>
      </c>
      <c r="C94" s="4">
        <v>32</v>
      </c>
      <c r="D94" s="4">
        <v>21</v>
      </c>
      <c r="E94" s="4">
        <v>13</v>
      </c>
      <c r="F94" s="4" t="s">
        <v>1519</v>
      </c>
      <c r="G94" s="4" t="s">
        <v>1525</v>
      </c>
      <c r="H94" s="4">
        <v>4.3</v>
      </c>
      <c r="I94" s="4">
        <v>47.3</v>
      </c>
      <c r="J94" s="4">
        <v>51.6</v>
      </c>
      <c r="K94" s="4">
        <v>36</v>
      </c>
      <c r="L94" s="4">
        <v>33</v>
      </c>
      <c r="M94" s="4">
        <v>148</v>
      </c>
      <c r="N94" s="4">
        <v>158</v>
      </c>
      <c r="O94" s="4">
        <v>17</v>
      </c>
      <c r="P94" s="4">
        <v>26500</v>
      </c>
      <c r="Q94" s="4">
        <v>1.95</v>
      </c>
      <c r="R94" s="4">
        <v>5.2</v>
      </c>
      <c r="S94" s="4">
        <v>88</v>
      </c>
      <c r="T94" s="4">
        <v>13.4</v>
      </c>
      <c r="U94" s="4">
        <v>350</v>
      </c>
      <c r="V94" s="4">
        <v>4.7</v>
      </c>
      <c r="W94" s="4">
        <v>6.6</v>
      </c>
      <c r="X94" s="4">
        <v>1270</v>
      </c>
      <c r="Y94" s="4">
        <v>0.7</v>
      </c>
      <c r="Z94">
        <f t="shared" si="9"/>
        <v>61.904761904761905</v>
      </c>
      <c r="AA94">
        <f t="shared" si="5"/>
        <v>2.2631760607403164</v>
      </c>
      <c r="AB94">
        <f t="shared" si="6"/>
        <v>115.27938830265981</v>
      </c>
      <c r="AC94">
        <f t="shared" si="7"/>
        <v>0.38823529411764701</v>
      </c>
      <c r="AD94">
        <f t="shared" si="8"/>
        <v>2.7999999999998693E-2</v>
      </c>
    </row>
    <row r="95" spans="1:33">
      <c r="A95" s="4">
        <v>111</v>
      </c>
      <c r="B95" s="4" t="s">
        <v>1404</v>
      </c>
      <c r="C95" s="4">
        <v>32</v>
      </c>
      <c r="D95" s="4">
        <v>20</v>
      </c>
      <c r="E95" s="4">
        <v>13</v>
      </c>
      <c r="F95" s="4" t="s">
        <v>1519</v>
      </c>
      <c r="G95" s="4" t="s">
        <v>1525</v>
      </c>
      <c r="H95" s="4">
        <v>4.8</v>
      </c>
      <c r="I95" s="4">
        <v>47.4</v>
      </c>
      <c r="J95" s="4">
        <v>52.2</v>
      </c>
      <c r="K95" s="4">
        <v>35</v>
      </c>
      <c r="L95" s="4">
        <v>31</v>
      </c>
      <c r="M95" s="4">
        <v>149</v>
      </c>
      <c r="N95" s="4">
        <v>138</v>
      </c>
      <c r="O95" s="4">
        <v>16.399999999999999</v>
      </c>
      <c r="P95" s="4">
        <v>39000</v>
      </c>
      <c r="Q95" s="4">
        <v>1.48</v>
      </c>
      <c r="R95" s="4">
        <v>5.8</v>
      </c>
      <c r="S95" s="4">
        <v>95</v>
      </c>
      <c r="T95" s="4">
        <v>17.2</v>
      </c>
      <c r="U95" s="4">
        <v>345</v>
      </c>
      <c r="V95" s="4">
        <v>5.9</v>
      </c>
      <c r="W95" s="4">
        <v>6.9</v>
      </c>
      <c r="X95" s="4">
        <v>950</v>
      </c>
      <c r="Y95" s="4">
        <v>0.9</v>
      </c>
      <c r="Z95">
        <f t="shared" si="9"/>
        <v>65</v>
      </c>
      <c r="AA95">
        <f t="shared" si="5"/>
        <v>2.23099603303206</v>
      </c>
      <c r="AB95">
        <f t="shared" si="6"/>
        <v>115.97144644057123</v>
      </c>
      <c r="AC95">
        <f t="shared" si="7"/>
        <v>0.42073170731707321</v>
      </c>
      <c r="AD95">
        <f t="shared" si="8"/>
        <v>2.2000000000002018E-2</v>
      </c>
    </row>
    <row r="96" spans="1:33">
      <c r="A96" s="4">
        <v>115</v>
      </c>
      <c r="B96" s="4" t="s">
        <v>1406</v>
      </c>
      <c r="C96" s="4">
        <v>32</v>
      </c>
      <c r="D96" s="4">
        <v>16</v>
      </c>
      <c r="E96" s="4">
        <v>11</v>
      </c>
      <c r="F96" s="4" t="s">
        <v>1519</v>
      </c>
      <c r="G96" s="4" t="s">
        <v>1525</v>
      </c>
      <c r="H96" s="4">
        <v>5.8</v>
      </c>
      <c r="I96" s="4">
        <v>25.6</v>
      </c>
      <c r="J96" s="4">
        <v>31.4</v>
      </c>
      <c r="K96" s="4">
        <v>33</v>
      </c>
      <c r="L96" s="4">
        <v>27</v>
      </c>
      <c r="M96" s="4">
        <v>145</v>
      </c>
      <c r="N96" s="4">
        <v>133</v>
      </c>
      <c r="O96" s="4">
        <v>8.4</v>
      </c>
      <c r="P96" s="4">
        <v>39000</v>
      </c>
      <c r="Q96" s="4">
        <v>1.48</v>
      </c>
      <c r="R96" s="4">
        <v>5.8</v>
      </c>
      <c r="S96" s="4">
        <v>49</v>
      </c>
      <c r="T96" s="4">
        <v>5.4</v>
      </c>
      <c r="U96" s="4">
        <v>337</v>
      </c>
      <c r="V96" s="4">
        <v>1.8</v>
      </c>
      <c r="W96" s="4">
        <v>3.6</v>
      </c>
      <c r="X96" s="4">
        <v>1560</v>
      </c>
      <c r="Y96" s="4">
        <v>0.5</v>
      </c>
      <c r="Z96">
        <f t="shared" si="9"/>
        <v>68.75</v>
      </c>
      <c r="AA96">
        <f t="shared" si="5"/>
        <v>2.658124944524662</v>
      </c>
      <c r="AB96">
        <f t="shared" si="6"/>
        <v>69.58687944116167</v>
      </c>
      <c r="AC96">
        <f t="shared" si="7"/>
        <v>0.42857142857142855</v>
      </c>
      <c r="AD96">
        <f t="shared" si="8"/>
        <v>-1.2000000000000455E-2</v>
      </c>
    </row>
    <row r="97" spans="1:30">
      <c r="A97" s="4">
        <v>126</v>
      </c>
      <c r="B97" s="4" t="s">
        <v>1342</v>
      </c>
      <c r="C97" s="4">
        <v>32</v>
      </c>
      <c r="D97" s="4">
        <v>16</v>
      </c>
      <c r="E97" s="4">
        <v>17</v>
      </c>
      <c r="F97" s="4" t="s">
        <v>1519</v>
      </c>
      <c r="G97" s="4" t="s">
        <v>1525</v>
      </c>
      <c r="H97" s="4">
        <v>5.9</v>
      </c>
      <c r="I97" s="4">
        <v>25.3</v>
      </c>
      <c r="J97" s="4">
        <v>31.2</v>
      </c>
      <c r="K97" s="4">
        <v>33</v>
      </c>
      <c r="L97" s="4">
        <v>27</v>
      </c>
      <c r="M97" s="4">
        <v>152</v>
      </c>
      <c r="N97" s="4">
        <v>144</v>
      </c>
      <c r="O97" s="4">
        <v>8.3000000000000007</v>
      </c>
      <c r="P97" s="4">
        <v>30200</v>
      </c>
      <c r="Q97" s="4">
        <v>1.91</v>
      </c>
      <c r="R97" s="4">
        <v>5.8</v>
      </c>
      <c r="S97" s="4">
        <v>48</v>
      </c>
      <c r="T97" s="4">
        <v>9.5</v>
      </c>
      <c r="U97" s="4">
        <v>416</v>
      </c>
      <c r="V97" s="4">
        <v>4</v>
      </c>
      <c r="W97" s="4">
        <v>3.4</v>
      </c>
      <c r="X97" s="4">
        <v>870</v>
      </c>
      <c r="Y97" s="4">
        <v>1.2</v>
      </c>
      <c r="Z97">
        <f t="shared" si="9"/>
        <v>106.25</v>
      </c>
      <c r="AA97">
        <f t="shared" si="5"/>
        <v>2.6905756963886103</v>
      </c>
      <c r="AB97">
        <f t="shared" si="6"/>
        <v>204.75962390078431</v>
      </c>
      <c r="AC97">
        <f t="shared" si="7"/>
        <v>0.4096385542168674</v>
      </c>
      <c r="AD97">
        <f t="shared" si="8"/>
        <v>-4.0000000000013358E-3</v>
      </c>
    </row>
    <row r="98" spans="1:30">
      <c r="A98" s="4">
        <v>134</v>
      </c>
      <c r="B98" s="4" t="s">
        <v>1395</v>
      </c>
      <c r="C98" s="4">
        <v>32</v>
      </c>
      <c r="D98" s="4">
        <v>15</v>
      </c>
      <c r="E98" s="4">
        <v>16</v>
      </c>
      <c r="F98" s="4" t="s">
        <v>1519</v>
      </c>
      <c r="G98" s="4" t="s">
        <v>1525</v>
      </c>
      <c r="H98" s="4">
        <v>6.6</v>
      </c>
      <c r="I98" s="4">
        <v>30.3</v>
      </c>
      <c r="J98" s="4">
        <v>36.9</v>
      </c>
      <c r="K98" s="4">
        <v>30</v>
      </c>
      <c r="L98" s="4">
        <v>25</v>
      </c>
      <c r="M98" s="4">
        <v>140</v>
      </c>
      <c r="N98" s="4">
        <v>139</v>
      </c>
      <c r="O98" s="4">
        <v>9.1</v>
      </c>
      <c r="P98" s="4">
        <v>38100</v>
      </c>
      <c r="Q98" s="4">
        <v>1.54</v>
      </c>
      <c r="R98" s="4">
        <v>5.8</v>
      </c>
      <c r="S98" s="4">
        <v>53</v>
      </c>
      <c r="T98" s="4">
        <v>9.3000000000000007</v>
      </c>
      <c r="U98" s="4">
        <v>406</v>
      </c>
      <c r="V98" s="4">
        <v>3.8</v>
      </c>
      <c r="W98" s="4">
        <v>3.8</v>
      </c>
      <c r="X98" s="4">
        <v>980</v>
      </c>
      <c r="Y98" s="4">
        <v>1</v>
      </c>
      <c r="Z98">
        <f t="shared" si="9"/>
        <v>106.66666666666667</v>
      </c>
      <c r="AA98">
        <f t="shared" si="5"/>
        <v>2.6266211451700734</v>
      </c>
      <c r="AB98">
        <f t="shared" si="6"/>
        <v>178.84726199481219</v>
      </c>
      <c r="AC98">
        <f t="shared" si="7"/>
        <v>0.4175824175824176</v>
      </c>
      <c r="AD98">
        <f t="shared" si="8"/>
        <v>-1.8000000000000682E-2</v>
      </c>
    </row>
    <row r="99" spans="1:30">
      <c r="A99" s="4">
        <v>139</v>
      </c>
      <c r="B99" s="4" t="s">
        <v>1416</v>
      </c>
      <c r="C99" s="4">
        <v>32</v>
      </c>
      <c r="D99" s="4">
        <v>14</v>
      </c>
      <c r="E99" s="4">
        <v>15</v>
      </c>
      <c r="F99" s="4" t="s">
        <v>1519</v>
      </c>
      <c r="G99" s="4" t="s">
        <v>1525</v>
      </c>
      <c r="H99" s="4">
        <v>6.6</v>
      </c>
      <c r="I99" s="4">
        <v>21.2</v>
      </c>
      <c r="J99" s="4">
        <v>27.8</v>
      </c>
      <c r="K99" s="4">
        <v>36</v>
      </c>
      <c r="L99" s="4">
        <v>28</v>
      </c>
      <c r="M99" s="4">
        <v>140</v>
      </c>
      <c r="N99" s="4">
        <v>141</v>
      </c>
      <c r="O99" s="4">
        <v>7.7</v>
      </c>
      <c r="P99" s="4">
        <v>33800</v>
      </c>
      <c r="Q99" s="4">
        <v>1.71</v>
      </c>
      <c r="R99" s="4">
        <v>5.8</v>
      </c>
      <c r="S99" s="4">
        <v>45</v>
      </c>
      <c r="T99" s="4">
        <v>7.5</v>
      </c>
      <c r="U99" s="4">
        <v>434</v>
      </c>
      <c r="V99" s="4">
        <v>3.3</v>
      </c>
      <c r="W99" s="4">
        <v>3.2</v>
      </c>
      <c r="X99" s="4">
        <v>1030</v>
      </c>
      <c r="Y99" s="4">
        <v>1</v>
      </c>
      <c r="Z99">
        <f t="shared" si="9"/>
        <v>107.14285714285714</v>
      </c>
      <c r="AA99">
        <f t="shared" si="5"/>
        <v>2.7240273085005717</v>
      </c>
      <c r="AB99">
        <f t="shared" si="6"/>
        <v>150.69950552243969</v>
      </c>
      <c r="AC99">
        <f t="shared" si="7"/>
        <v>0.41558441558441561</v>
      </c>
      <c r="AD99">
        <f t="shared" si="8"/>
        <v>1.2000000000000455E-2</v>
      </c>
    </row>
    <row r="100" spans="1:30">
      <c r="A100" s="4">
        <v>146</v>
      </c>
      <c r="B100" s="4" t="s">
        <v>1360</v>
      </c>
      <c r="C100" s="4">
        <v>33</v>
      </c>
      <c r="D100" s="4">
        <v>11</v>
      </c>
      <c r="E100" s="4">
        <v>6</v>
      </c>
      <c r="F100" s="4" t="s">
        <v>1519</v>
      </c>
      <c r="G100" s="4" t="s">
        <v>1525</v>
      </c>
      <c r="H100" s="4">
        <v>2.2999999999999998</v>
      </c>
      <c r="I100" s="4">
        <v>18.399999999999999</v>
      </c>
      <c r="J100" s="4">
        <v>20.7</v>
      </c>
      <c r="K100" s="4">
        <v>27</v>
      </c>
      <c r="L100" s="4">
        <v>24</v>
      </c>
      <c r="M100" s="4">
        <v>123</v>
      </c>
      <c r="N100" s="4">
        <v>135</v>
      </c>
      <c r="O100" s="4">
        <v>5</v>
      </c>
      <c r="P100" s="4">
        <v>84300</v>
      </c>
      <c r="Q100" s="4">
        <v>0.8</v>
      </c>
      <c r="R100" s="4">
        <v>6.7</v>
      </c>
      <c r="S100" s="4">
        <v>34</v>
      </c>
      <c r="T100" s="4">
        <v>1.8</v>
      </c>
      <c r="U100" s="4">
        <v>336</v>
      </c>
      <c r="V100" s="4">
        <v>0.6</v>
      </c>
      <c r="W100" s="4">
        <v>2.1</v>
      </c>
      <c r="X100" s="4">
        <v>2780</v>
      </c>
      <c r="Y100" s="4">
        <v>0.3</v>
      </c>
      <c r="Z100">
        <f t="shared" si="9"/>
        <v>54.545454545454547</v>
      </c>
      <c r="AA100">
        <f t="shared" si="5"/>
        <v>2.9289112803291766</v>
      </c>
      <c r="AB100">
        <f t="shared" si="6"/>
        <v>9.4315859240893776</v>
      </c>
      <c r="AC100">
        <f t="shared" si="7"/>
        <v>0.42000000000000004</v>
      </c>
      <c r="AD100">
        <f t="shared" si="8"/>
        <v>-6.4999999999999503E-2</v>
      </c>
    </row>
    <row r="101" spans="1:30">
      <c r="A101" s="4">
        <v>154</v>
      </c>
      <c r="B101" s="4" t="s">
        <v>1423</v>
      </c>
      <c r="C101" s="4">
        <v>33</v>
      </c>
      <c r="D101" s="4">
        <v>11</v>
      </c>
      <c r="E101" s="4">
        <v>6</v>
      </c>
      <c r="F101" s="4" t="s">
        <v>1519</v>
      </c>
      <c r="G101" s="4" t="s">
        <v>1525</v>
      </c>
      <c r="H101" s="4">
        <v>2.2999999999999998</v>
      </c>
      <c r="I101" s="4">
        <v>11.7</v>
      </c>
      <c r="J101" s="4">
        <v>14</v>
      </c>
      <c r="K101" s="4">
        <v>39</v>
      </c>
      <c r="L101" s="4">
        <v>33</v>
      </c>
      <c r="M101" s="4">
        <v>124</v>
      </c>
      <c r="N101" s="4">
        <v>118</v>
      </c>
      <c r="O101" s="4">
        <v>4.5999999999999996</v>
      </c>
      <c r="P101" s="4">
        <v>42000</v>
      </c>
      <c r="Q101" s="4">
        <v>1.19</v>
      </c>
      <c r="R101" s="4">
        <v>5</v>
      </c>
      <c r="S101" s="4">
        <v>23</v>
      </c>
      <c r="T101" s="4">
        <v>1.9</v>
      </c>
      <c r="U101" s="4">
        <v>366</v>
      </c>
      <c r="V101" s="4">
        <v>0.7</v>
      </c>
      <c r="W101" s="4">
        <v>2.1</v>
      </c>
      <c r="X101" s="4">
        <v>2370</v>
      </c>
      <c r="Y101" s="4">
        <v>0.3</v>
      </c>
      <c r="Z101">
        <f t="shared" si="9"/>
        <v>54.545454545454547</v>
      </c>
      <c r="AA101">
        <f t="shared" si="5"/>
        <v>2.9289112803291766</v>
      </c>
      <c r="AB101">
        <f t="shared" si="6"/>
        <v>9.4315859240893776</v>
      </c>
      <c r="AC101">
        <f t="shared" si="7"/>
        <v>0.45652173913043481</v>
      </c>
      <c r="AD101">
        <f t="shared" si="8"/>
        <v>-2.2000000000000242E-2</v>
      </c>
    </row>
    <row r="102" spans="1:30">
      <c r="A102" s="4">
        <v>159</v>
      </c>
      <c r="B102" s="4" t="s">
        <v>1428</v>
      </c>
      <c r="C102" s="4">
        <v>55</v>
      </c>
      <c r="D102" s="4">
        <v>22</v>
      </c>
      <c r="E102" s="4">
        <v>21</v>
      </c>
      <c r="F102" s="4" t="s">
        <v>1519</v>
      </c>
      <c r="G102" s="4" t="s">
        <v>1525</v>
      </c>
      <c r="H102" s="4">
        <v>4</v>
      </c>
      <c r="I102" s="4">
        <v>55.6</v>
      </c>
      <c r="J102" s="4">
        <v>59.6</v>
      </c>
      <c r="K102" s="4">
        <v>28</v>
      </c>
      <c r="L102" s="4">
        <v>26</v>
      </c>
      <c r="M102" s="4">
        <v>158</v>
      </c>
      <c r="N102" s="4">
        <v>156</v>
      </c>
      <c r="O102" s="4">
        <v>15.6</v>
      </c>
      <c r="P102" s="4">
        <v>43400</v>
      </c>
      <c r="Q102" s="4">
        <v>1.23</v>
      </c>
      <c r="R102" s="4">
        <v>5.3</v>
      </c>
      <c r="S102" s="4">
        <v>83</v>
      </c>
      <c r="T102" s="4">
        <v>13.5</v>
      </c>
      <c r="U102" s="4">
        <v>433</v>
      </c>
      <c r="V102" s="4">
        <v>5.8</v>
      </c>
      <c r="W102" s="4">
        <v>6.1</v>
      </c>
      <c r="X102" s="4">
        <v>1160</v>
      </c>
      <c r="Y102" s="4">
        <v>1</v>
      </c>
      <c r="Z102">
        <f t="shared" si="9"/>
        <v>95.454545454545453</v>
      </c>
      <c r="AA102">
        <f t="shared" si="5"/>
        <v>2.3192743886889282</v>
      </c>
      <c r="AB102">
        <f t="shared" si="6"/>
        <v>348.96950936509342</v>
      </c>
      <c r="AC102">
        <f t="shared" si="7"/>
        <v>0.39102564102564102</v>
      </c>
      <c r="AD102">
        <f t="shared" si="8"/>
        <v>1.6000000000000014E-2</v>
      </c>
    </row>
    <row r="103" spans="1:30">
      <c r="A103" s="4">
        <v>165</v>
      </c>
      <c r="B103" s="7"/>
      <c r="C103" s="4">
        <v>65</v>
      </c>
      <c r="D103" s="4">
        <v>27</v>
      </c>
      <c r="E103" s="4">
        <v>25</v>
      </c>
      <c r="F103" s="4" t="s">
        <v>1519</v>
      </c>
      <c r="G103" s="4" t="s">
        <v>1525</v>
      </c>
      <c r="H103" s="4">
        <v>5.6</v>
      </c>
      <c r="I103" s="4">
        <v>67.5</v>
      </c>
      <c r="J103" s="4">
        <v>73.099999999999994</v>
      </c>
      <c r="K103" s="4">
        <v>29</v>
      </c>
      <c r="L103" s="4">
        <v>27</v>
      </c>
      <c r="M103" s="4">
        <v>147</v>
      </c>
      <c r="N103" s="4">
        <v>149</v>
      </c>
      <c r="O103" s="4">
        <v>19.899999999999999</v>
      </c>
      <c r="P103" s="4">
        <v>36800</v>
      </c>
      <c r="Q103" s="4">
        <v>1.54</v>
      </c>
      <c r="R103" s="4">
        <v>5.7</v>
      </c>
      <c r="S103" s="4">
        <v>113</v>
      </c>
      <c r="T103" s="4">
        <v>25.6</v>
      </c>
      <c r="U103" s="4">
        <v>444</v>
      </c>
      <c r="V103" s="4">
        <v>11.4</v>
      </c>
      <c r="W103" s="4">
        <v>8</v>
      </c>
      <c r="X103" s="4">
        <v>780</v>
      </c>
      <c r="Y103" s="7">
        <v>1.4</v>
      </c>
      <c r="Z103">
        <f t="shared" si="9"/>
        <v>92.592592592592595</v>
      </c>
      <c r="AA103">
        <f t="shared" si="5"/>
        <v>2.1214668038355176</v>
      </c>
      <c r="AB103">
        <f t="shared" si="6"/>
        <v>523.42728120800018</v>
      </c>
      <c r="AC103">
        <f t="shared" si="7"/>
        <v>0.4020100502512563</v>
      </c>
      <c r="AD103">
        <f t="shared" si="8"/>
        <v>2.0000000000003126E-2</v>
      </c>
    </row>
    <row r="104" spans="1:30">
      <c r="A104" s="4">
        <v>166</v>
      </c>
      <c r="B104" s="7"/>
      <c r="C104" s="4">
        <v>65</v>
      </c>
      <c r="D104" s="4">
        <v>32</v>
      </c>
      <c r="E104" s="4">
        <v>25</v>
      </c>
      <c r="F104" s="4" t="s">
        <v>1519</v>
      </c>
      <c r="G104" s="4" t="s">
        <v>1525</v>
      </c>
      <c r="H104" s="4">
        <v>4.5</v>
      </c>
      <c r="I104" s="4">
        <v>143.80000000000001</v>
      </c>
      <c r="J104" s="4">
        <v>148.30000000000001</v>
      </c>
      <c r="K104" s="4">
        <v>30</v>
      </c>
      <c r="L104" s="4">
        <v>29</v>
      </c>
      <c r="M104" s="4">
        <v>135</v>
      </c>
      <c r="N104" s="4">
        <v>149</v>
      </c>
      <c r="O104" s="4">
        <v>43.3</v>
      </c>
      <c r="P104" s="4">
        <v>47700</v>
      </c>
      <c r="Q104" s="4">
        <v>1.24</v>
      </c>
      <c r="R104" s="4">
        <v>5.9</v>
      </c>
      <c r="S104" s="4">
        <v>255</v>
      </c>
      <c r="T104" s="4">
        <v>27.6</v>
      </c>
      <c r="U104" s="4">
        <v>457</v>
      </c>
      <c r="V104" s="4">
        <v>12.6</v>
      </c>
      <c r="W104" s="4">
        <v>17.399999999999999</v>
      </c>
      <c r="X104" s="4">
        <v>1570</v>
      </c>
      <c r="Y104" s="4">
        <v>0.7</v>
      </c>
      <c r="Z104">
        <f t="shared" si="9"/>
        <v>78.125</v>
      </c>
      <c r="AA104">
        <f t="shared" si="5"/>
        <v>1.5166889211511818</v>
      </c>
      <c r="AB104">
        <f t="shared" si="6"/>
        <v>551.46589922598366</v>
      </c>
      <c r="AC104">
        <f t="shared" si="7"/>
        <v>0.40184757505773672</v>
      </c>
      <c r="AD104">
        <f t="shared" si="8"/>
        <v>2.6000000000003354E-2</v>
      </c>
    </row>
    <row r="105" spans="1:30">
      <c r="A105" s="4">
        <v>173</v>
      </c>
      <c r="B105" s="6" t="s">
        <v>1436</v>
      </c>
      <c r="C105" s="4">
        <v>71</v>
      </c>
      <c r="D105" s="4">
        <v>29</v>
      </c>
      <c r="E105" s="4">
        <v>27</v>
      </c>
      <c r="F105" s="4" t="s">
        <v>1519</v>
      </c>
      <c r="G105" s="4" t="s">
        <v>1525</v>
      </c>
      <c r="H105" s="4">
        <v>4.5</v>
      </c>
      <c r="I105" s="4">
        <v>74.5</v>
      </c>
      <c r="J105" s="4">
        <v>79</v>
      </c>
      <c r="K105" s="4">
        <v>22</v>
      </c>
      <c r="L105" s="4">
        <v>20</v>
      </c>
      <c r="M105" s="4">
        <v>155</v>
      </c>
      <c r="N105" s="4">
        <v>150</v>
      </c>
      <c r="O105" s="4">
        <v>16.100000000000001</v>
      </c>
      <c r="P105" s="4">
        <v>45600</v>
      </c>
      <c r="Q105" s="4">
        <v>1.28</v>
      </c>
      <c r="R105" s="4">
        <v>5.8</v>
      </c>
      <c r="S105" s="4">
        <v>93</v>
      </c>
      <c r="T105" s="4">
        <v>15.7</v>
      </c>
      <c r="U105" s="4">
        <v>425</v>
      </c>
      <c r="V105" s="4">
        <v>6.7</v>
      </c>
      <c r="W105" s="4">
        <v>6.3</v>
      </c>
      <c r="X105" s="4">
        <v>1030</v>
      </c>
      <c r="Y105" s="4">
        <v>1.1000000000000001</v>
      </c>
      <c r="Z105">
        <f t="shared" si="9"/>
        <v>93.103448275862064</v>
      </c>
      <c r="AA105">
        <f t="shared" si="5"/>
        <v>2.2964511794095208</v>
      </c>
      <c r="AB105">
        <f t="shared" si="6"/>
        <v>610.26532433129728</v>
      </c>
      <c r="AC105">
        <f t="shared" si="7"/>
        <v>0.39130434782608692</v>
      </c>
      <c r="AD105">
        <f t="shared" si="8"/>
        <v>-0.35000000000000142</v>
      </c>
    </row>
    <row r="106" spans="1:30">
      <c r="A106" s="4">
        <v>176</v>
      </c>
      <c r="B106" s="7"/>
      <c r="C106" s="4">
        <v>80</v>
      </c>
      <c r="D106" s="4">
        <v>35</v>
      </c>
      <c r="E106" s="4">
        <v>31</v>
      </c>
      <c r="F106" s="4" t="s">
        <v>1519</v>
      </c>
      <c r="G106" s="4" t="s">
        <v>1525</v>
      </c>
      <c r="H106" s="4">
        <v>5.4</v>
      </c>
      <c r="I106" s="4">
        <v>96.1</v>
      </c>
      <c r="J106" s="4">
        <v>101.5</v>
      </c>
      <c r="K106" s="4">
        <v>23</v>
      </c>
      <c r="L106" s="4">
        <v>21</v>
      </c>
      <c r="M106" s="4">
        <v>128</v>
      </c>
      <c r="N106" s="4">
        <v>155</v>
      </c>
      <c r="O106" s="4">
        <v>21.7</v>
      </c>
      <c r="P106" s="4">
        <v>33000</v>
      </c>
      <c r="Q106" s="4">
        <v>1.69</v>
      </c>
      <c r="R106" s="4">
        <v>5.6</v>
      </c>
      <c r="S106" s="4">
        <v>122</v>
      </c>
      <c r="T106" s="4">
        <v>18</v>
      </c>
      <c r="U106" s="4">
        <v>486</v>
      </c>
      <c r="V106" s="4">
        <v>8.6999999999999993</v>
      </c>
      <c r="W106" s="4">
        <v>8.5</v>
      </c>
      <c r="X106" s="4">
        <v>1210</v>
      </c>
      <c r="Y106" s="4">
        <v>1</v>
      </c>
      <c r="Z106">
        <f t="shared" si="9"/>
        <v>88.571428571428569</v>
      </c>
      <c r="AA106">
        <f t="shared" si="5"/>
        <v>2.0756219199640209</v>
      </c>
      <c r="AB106">
        <f t="shared" si="6"/>
        <v>836.61964731686578</v>
      </c>
      <c r="AC106">
        <f t="shared" si="7"/>
        <v>0.39170506912442399</v>
      </c>
      <c r="AD106">
        <f t="shared" si="8"/>
        <v>-2.5000000000002132E-2</v>
      </c>
    </row>
    <row r="107" spans="1:30">
      <c r="A107" s="4">
        <v>177</v>
      </c>
      <c r="B107" s="7"/>
      <c r="C107" s="4">
        <v>80</v>
      </c>
      <c r="D107" s="4">
        <v>39</v>
      </c>
      <c r="E107" s="4">
        <v>31</v>
      </c>
      <c r="F107" s="4" t="s">
        <v>1519</v>
      </c>
      <c r="G107" s="4" t="s">
        <v>1525</v>
      </c>
      <c r="H107" s="4">
        <v>3.7</v>
      </c>
      <c r="I107" s="4">
        <v>260.7</v>
      </c>
      <c r="J107" s="4">
        <v>264.39999999999998</v>
      </c>
      <c r="K107" s="4">
        <v>18</v>
      </c>
      <c r="L107" s="4">
        <v>18</v>
      </c>
      <c r="M107" s="4">
        <v>159</v>
      </c>
      <c r="N107" s="4">
        <v>164</v>
      </c>
      <c r="O107" s="4">
        <v>46.7</v>
      </c>
      <c r="P107" s="4">
        <v>26900</v>
      </c>
      <c r="Q107" s="4">
        <v>1.76</v>
      </c>
      <c r="R107" s="4">
        <v>4.7</v>
      </c>
      <c r="S107" s="4">
        <v>219</v>
      </c>
      <c r="T107" s="4">
        <v>45.8</v>
      </c>
      <c r="U107" s="4">
        <v>422</v>
      </c>
      <c r="V107" s="4">
        <v>19.3</v>
      </c>
      <c r="W107" s="4">
        <v>17.7</v>
      </c>
      <c r="X107" s="4">
        <v>1020</v>
      </c>
      <c r="Y107" s="4">
        <v>1.1000000000000001</v>
      </c>
      <c r="Z107">
        <f t="shared" si="9"/>
        <v>79.487179487179489</v>
      </c>
      <c r="AA107">
        <f t="shared" si="5"/>
        <v>1.5034801383458307</v>
      </c>
      <c r="AB107">
        <f t="shared" si="6"/>
        <v>870.04468394895878</v>
      </c>
      <c r="AC107">
        <f t="shared" si="7"/>
        <v>0.37901498929336186</v>
      </c>
      <c r="AD107">
        <f t="shared" si="8"/>
        <v>2.7999999999991587E-2</v>
      </c>
    </row>
    <row r="108" spans="1:30">
      <c r="A108" s="4">
        <v>185</v>
      </c>
      <c r="B108" s="7"/>
      <c r="C108" s="4">
        <v>82</v>
      </c>
      <c r="D108" s="4">
        <v>37</v>
      </c>
      <c r="E108" s="4">
        <v>29</v>
      </c>
      <c r="F108" s="4" t="s">
        <v>1519</v>
      </c>
      <c r="G108" s="4" t="s">
        <v>1525</v>
      </c>
      <c r="H108" s="4">
        <v>4</v>
      </c>
      <c r="I108" s="4">
        <v>114.8</v>
      </c>
      <c r="J108" s="4">
        <v>118.8</v>
      </c>
      <c r="K108" s="4">
        <v>19</v>
      </c>
      <c r="L108" s="4">
        <v>19</v>
      </c>
      <c r="M108" s="4">
        <v>143</v>
      </c>
      <c r="N108" s="9">
        <v>138</v>
      </c>
      <c r="O108" s="4">
        <v>22.4</v>
      </c>
      <c r="P108" s="4">
        <v>37000</v>
      </c>
      <c r="Q108" s="4">
        <v>1.46</v>
      </c>
      <c r="R108" s="4">
        <v>5.4</v>
      </c>
      <c r="S108" s="4">
        <v>121</v>
      </c>
      <c r="T108" s="4">
        <v>22.6</v>
      </c>
      <c r="U108" s="4">
        <v>451</v>
      </c>
      <c r="V108" s="4">
        <v>10.199999999999999</v>
      </c>
      <c r="W108" s="4">
        <v>9.4</v>
      </c>
      <c r="X108" s="4">
        <v>990</v>
      </c>
      <c r="Y108" s="4">
        <v>1.1000000000000001</v>
      </c>
      <c r="Z108">
        <f t="shared" si="9"/>
        <v>78.378378378378372</v>
      </c>
      <c r="AA108">
        <f t="shared" si="5"/>
        <v>1.9985120732115926</v>
      </c>
      <c r="AB108">
        <f t="shared" si="6"/>
        <v>729.08035026050015</v>
      </c>
      <c r="AC108">
        <f t="shared" si="7"/>
        <v>0.41964285714285721</v>
      </c>
      <c r="AD108">
        <f t="shared" si="8"/>
        <v>-2.7999999999998693E-2</v>
      </c>
    </row>
    <row r="109" spans="1:30">
      <c r="A109" s="4">
        <v>193</v>
      </c>
      <c r="B109" s="7"/>
      <c r="C109" s="4">
        <v>84</v>
      </c>
      <c r="D109" s="4">
        <v>43</v>
      </c>
      <c r="E109" s="4">
        <v>28</v>
      </c>
      <c r="F109" s="4" t="s">
        <v>1519</v>
      </c>
      <c r="G109" s="4" t="s">
        <v>1525</v>
      </c>
      <c r="H109" s="4">
        <v>3.1</v>
      </c>
      <c r="I109" s="4">
        <v>144</v>
      </c>
      <c r="J109" s="4">
        <v>147.1</v>
      </c>
      <c r="K109" s="4">
        <v>19</v>
      </c>
      <c r="L109" s="4">
        <v>18</v>
      </c>
      <c r="M109" s="4">
        <v>129</v>
      </c>
      <c r="N109" s="4">
        <v>124</v>
      </c>
      <c r="O109" s="4">
        <v>26.7</v>
      </c>
      <c r="P109" s="4">
        <v>38200</v>
      </c>
      <c r="Q109" s="4">
        <v>1.57</v>
      </c>
      <c r="R109" s="4">
        <v>6</v>
      </c>
      <c r="S109" s="4">
        <v>160</v>
      </c>
      <c r="T109" s="4">
        <v>26.1</v>
      </c>
      <c r="U109" s="4">
        <v>409</v>
      </c>
      <c r="V109" s="4">
        <v>10.7</v>
      </c>
      <c r="W109" s="4">
        <v>11.9</v>
      </c>
      <c r="X109" s="4">
        <v>1020</v>
      </c>
      <c r="Y109" s="4">
        <v>0.9</v>
      </c>
      <c r="Z109">
        <f t="shared" si="9"/>
        <v>65.116279069767444</v>
      </c>
      <c r="AA109">
        <f t="shared" si="5"/>
        <v>1.8144587918151489</v>
      </c>
      <c r="AB109">
        <f t="shared" si="6"/>
        <v>685.68256836554701</v>
      </c>
      <c r="AC109">
        <f t="shared" si="7"/>
        <v>0.44569288389513112</v>
      </c>
      <c r="AD109">
        <f t="shared" si="8"/>
        <v>-4.399999999999693E-2</v>
      </c>
    </row>
    <row r="110" spans="1:30">
      <c r="A110" s="4">
        <v>194</v>
      </c>
      <c r="B110" s="7"/>
      <c r="C110" s="4">
        <v>85</v>
      </c>
      <c r="D110" s="4">
        <v>53</v>
      </c>
      <c r="E110" s="4">
        <v>31</v>
      </c>
      <c r="F110" s="4" t="s">
        <v>1519</v>
      </c>
      <c r="G110" s="4" t="s">
        <v>1525</v>
      </c>
      <c r="H110" s="4">
        <v>3</v>
      </c>
      <c r="I110" s="4">
        <v>324.89999999999998</v>
      </c>
      <c r="J110" s="4">
        <v>327.9</v>
      </c>
      <c r="K110" s="4">
        <v>21</v>
      </c>
      <c r="L110" s="4">
        <v>20</v>
      </c>
      <c r="M110" s="4">
        <v>125</v>
      </c>
      <c r="N110" s="4">
        <v>122</v>
      </c>
      <c r="O110" s="4">
        <v>66.900000000000006</v>
      </c>
      <c r="P110" s="4">
        <v>36600</v>
      </c>
      <c r="Q110" s="4">
        <v>1.48</v>
      </c>
      <c r="R110" s="4">
        <v>5.4</v>
      </c>
      <c r="S110" s="4">
        <v>361</v>
      </c>
      <c r="T110" s="4">
        <v>42</v>
      </c>
      <c r="U110" s="4">
        <v>436</v>
      </c>
      <c r="V110" s="4">
        <v>18.3</v>
      </c>
      <c r="W110" s="4">
        <v>30.1</v>
      </c>
      <c r="X110" s="4">
        <v>1590</v>
      </c>
      <c r="Y110" s="4">
        <v>0.6</v>
      </c>
      <c r="Z110">
        <f t="shared" si="9"/>
        <v>58.490566037735846</v>
      </c>
      <c r="AA110">
        <f t="shared" si="5"/>
        <v>1.1141318567911753</v>
      </c>
      <c r="AB110">
        <f t="shared" si="6"/>
        <v>893.16511467326404</v>
      </c>
      <c r="AC110">
        <f t="shared" si="7"/>
        <v>0.44992526158445439</v>
      </c>
      <c r="AD110">
        <f t="shared" si="8"/>
        <v>-7.8000000000002956E-2</v>
      </c>
    </row>
    <row r="111" spans="1:30">
      <c r="A111" s="4">
        <v>196</v>
      </c>
      <c r="B111" s="7"/>
      <c r="C111" s="4">
        <v>85</v>
      </c>
      <c r="D111" s="4">
        <v>39</v>
      </c>
      <c r="E111" s="4">
        <v>30</v>
      </c>
      <c r="F111" s="4" t="s">
        <v>1519</v>
      </c>
      <c r="G111" s="4" t="s">
        <v>1525</v>
      </c>
      <c r="H111" s="4">
        <v>4.2</v>
      </c>
      <c r="I111" s="4">
        <v>179.4</v>
      </c>
      <c r="J111" s="4">
        <v>163.6</v>
      </c>
      <c r="K111" s="4">
        <v>21</v>
      </c>
      <c r="L111" s="4">
        <v>20</v>
      </c>
      <c r="M111" s="4">
        <v>137</v>
      </c>
      <c r="N111" s="4">
        <v>153</v>
      </c>
      <c r="O111" s="4">
        <v>37.5</v>
      </c>
      <c r="P111" s="4">
        <v>52600</v>
      </c>
      <c r="Q111" s="4">
        <v>1.32</v>
      </c>
      <c r="R111" s="4">
        <v>7</v>
      </c>
      <c r="S111" s="4">
        <v>262</v>
      </c>
      <c r="T111" s="4">
        <v>23.3</v>
      </c>
      <c r="U111" s="4">
        <v>458</v>
      </c>
      <c r="V111" s="4">
        <v>10.7</v>
      </c>
      <c r="W111" s="4">
        <v>14.8</v>
      </c>
      <c r="X111" s="4">
        <v>1610</v>
      </c>
      <c r="Y111" s="4">
        <v>0.7</v>
      </c>
      <c r="Z111">
        <f t="shared" si="9"/>
        <v>76.92307692307692</v>
      </c>
      <c r="AA111">
        <f t="shared" si="5"/>
        <v>1.6428771509341782</v>
      </c>
      <c r="AB111">
        <f t="shared" si="6"/>
        <v>804.12641627701089</v>
      </c>
      <c r="AC111">
        <f t="shared" si="7"/>
        <v>0.39466666666666667</v>
      </c>
      <c r="AD111">
        <f t="shared" si="8"/>
        <v>-5.5999999999997385E-2</v>
      </c>
    </row>
    <row r="112" spans="1:30">
      <c r="A112" s="4">
        <v>197</v>
      </c>
      <c r="B112" s="7"/>
      <c r="C112" s="4">
        <v>85</v>
      </c>
      <c r="D112" s="4">
        <v>49</v>
      </c>
      <c r="E112" s="4">
        <v>31</v>
      </c>
      <c r="F112" s="4" t="s">
        <v>1519</v>
      </c>
      <c r="G112" s="4" t="s">
        <v>1525</v>
      </c>
      <c r="H112" s="4">
        <v>5.2</v>
      </c>
      <c r="I112" s="4">
        <v>282.89999999999998</v>
      </c>
      <c r="J112" s="4">
        <v>288.10000000000002</v>
      </c>
      <c r="K112" s="4">
        <v>15</v>
      </c>
      <c r="L112" s="4">
        <v>15</v>
      </c>
      <c r="M112" s="4">
        <v>130</v>
      </c>
      <c r="N112" s="4">
        <v>155</v>
      </c>
      <c r="O112" s="4">
        <v>41.9</v>
      </c>
      <c r="P112" s="4">
        <v>25500</v>
      </c>
      <c r="Q112" s="4">
        <v>2.19</v>
      </c>
      <c r="R112" s="4">
        <v>5.6</v>
      </c>
      <c r="S112" s="4">
        <v>235</v>
      </c>
      <c r="T112" s="4">
        <v>30.2</v>
      </c>
      <c r="U112" s="4">
        <v>400</v>
      </c>
      <c r="V112" s="4">
        <v>12.1</v>
      </c>
      <c r="W112" s="4">
        <v>16.399999999999999</v>
      </c>
      <c r="X112" s="4">
        <v>1390</v>
      </c>
      <c r="Y112" s="4">
        <v>0.7</v>
      </c>
      <c r="Z112">
        <f t="shared" si="9"/>
        <v>63.265306122448976</v>
      </c>
      <c r="AA112">
        <f t="shared" si="5"/>
        <v>1.5626239241981315</v>
      </c>
      <c r="AB112">
        <f t="shared" si="6"/>
        <v>866.55911022819225</v>
      </c>
      <c r="AC112">
        <f t="shared" si="7"/>
        <v>0.39140811455847252</v>
      </c>
      <c r="AD112">
        <f t="shared" si="8"/>
        <v>-8.00000000000054E-2</v>
      </c>
    </row>
    <row r="113" spans="1:33">
      <c r="A113" s="4">
        <v>202</v>
      </c>
      <c r="B113" s="4" t="s">
        <v>1449</v>
      </c>
      <c r="C113" s="4">
        <v>91</v>
      </c>
      <c r="D113" s="4">
        <v>36</v>
      </c>
      <c r="E113" s="4">
        <v>31</v>
      </c>
      <c r="F113" s="4" t="s">
        <v>1519</v>
      </c>
      <c r="G113" s="4" t="s">
        <v>1525</v>
      </c>
      <c r="H113" s="4">
        <v>4</v>
      </c>
      <c r="I113" s="4">
        <v>122.9</v>
      </c>
      <c r="J113" s="4">
        <v>126.9</v>
      </c>
      <c r="K113" s="4">
        <v>18</v>
      </c>
      <c r="L113" s="4">
        <v>18</v>
      </c>
      <c r="M113" s="4">
        <v>150</v>
      </c>
      <c r="N113" s="4">
        <v>159</v>
      </c>
      <c r="O113" s="4">
        <v>22.5</v>
      </c>
      <c r="P113" s="4">
        <v>31200</v>
      </c>
      <c r="Q113" s="4">
        <v>1.67</v>
      </c>
      <c r="R113" s="4">
        <v>5.2</v>
      </c>
      <c r="S113" s="4">
        <v>117</v>
      </c>
      <c r="T113" s="4">
        <v>14.3</v>
      </c>
      <c r="U113" s="4">
        <v>423</v>
      </c>
      <c r="V113" s="4">
        <v>6.1</v>
      </c>
      <c r="W113" s="4">
        <v>8.6999999999999993</v>
      </c>
      <c r="X113" s="4">
        <v>1570</v>
      </c>
      <c r="Y113" s="4">
        <v>0.7</v>
      </c>
      <c r="Z113">
        <f t="shared" si="9"/>
        <v>86.111111111111114</v>
      </c>
      <c r="AA113">
        <f t="shared" si="5"/>
        <v>2.0579073845748321</v>
      </c>
      <c r="AB113">
        <f t="shared" si="6"/>
        <v>837.64472495984796</v>
      </c>
      <c r="AC113">
        <f t="shared" si="7"/>
        <v>0.38666666666666666</v>
      </c>
      <c r="AD113">
        <f t="shared" si="8"/>
        <v>3.2999999999997698E-2</v>
      </c>
    </row>
    <row r="114" spans="1:33">
      <c r="A114" s="4">
        <v>205</v>
      </c>
      <c r="B114" s="7"/>
      <c r="C114" s="4">
        <v>97</v>
      </c>
      <c r="D114" s="4">
        <v>42</v>
      </c>
      <c r="E114" s="4">
        <v>30</v>
      </c>
      <c r="F114" s="4" t="s">
        <v>1519</v>
      </c>
      <c r="G114" s="4" t="s">
        <v>1525</v>
      </c>
      <c r="H114" s="4">
        <v>3.2</v>
      </c>
      <c r="I114" s="4">
        <v>171.8</v>
      </c>
      <c r="J114" s="4">
        <v>175</v>
      </c>
      <c r="K114" s="4">
        <v>22</v>
      </c>
      <c r="L114" s="4">
        <v>21</v>
      </c>
      <c r="M114" s="4">
        <v>121</v>
      </c>
      <c r="N114" s="4">
        <v>147</v>
      </c>
      <c r="O114" s="4">
        <v>37.5</v>
      </c>
      <c r="P114" s="4">
        <v>34600</v>
      </c>
      <c r="Q114" s="4">
        <v>1.67</v>
      </c>
      <c r="R114" s="4">
        <v>5.8</v>
      </c>
      <c r="S114" s="4">
        <v>217</v>
      </c>
      <c r="T114" s="4">
        <v>15.9</v>
      </c>
      <c r="U114" s="4">
        <v>422</v>
      </c>
      <c r="V114" s="4">
        <v>6.7</v>
      </c>
      <c r="W114" s="4">
        <v>15.2</v>
      </c>
      <c r="X114" s="4">
        <v>2360</v>
      </c>
      <c r="Y114" s="4">
        <v>0.4</v>
      </c>
      <c r="Z114">
        <f t="shared" si="9"/>
        <v>71.428571428571431</v>
      </c>
      <c r="AA114">
        <f t="shared" si="5"/>
        <v>1.621970960123442</v>
      </c>
      <c r="AB114">
        <f t="shared" si="6"/>
        <v>805.31253218807728</v>
      </c>
      <c r="AC114">
        <f t="shared" si="7"/>
        <v>0.40533333333333332</v>
      </c>
      <c r="AD114">
        <f t="shared" si="8"/>
        <v>4.399999999999693E-2</v>
      </c>
    </row>
    <row r="115" spans="1:33">
      <c r="A115" s="4">
        <v>208</v>
      </c>
      <c r="B115" s="7"/>
      <c r="C115" s="4">
        <v>98</v>
      </c>
      <c r="D115" s="4">
        <v>50</v>
      </c>
      <c r="E115" s="4">
        <v>34</v>
      </c>
      <c r="F115" s="4" t="s">
        <v>1519</v>
      </c>
      <c r="G115" s="4" t="s">
        <v>1525</v>
      </c>
      <c r="H115" s="4">
        <v>3.8</v>
      </c>
      <c r="I115" s="4">
        <v>256.2</v>
      </c>
      <c r="J115" s="4">
        <v>260</v>
      </c>
      <c r="K115" s="4">
        <v>25</v>
      </c>
      <c r="L115" s="4">
        <v>25</v>
      </c>
      <c r="M115" s="4">
        <v>126</v>
      </c>
      <c r="N115" s="4">
        <v>147</v>
      </c>
      <c r="O115" s="4">
        <v>64.5</v>
      </c>
      <c r="P115" s="4">
        <v>25200</v>
      </c>
      <c r="Q115" s="4">
        <v>2.1800000000000002</v>
      </c>
      <c r="R115" s="4">
        <v>5.5</v>
      </c>
      <c r="S115" s="4">
        <v>355</v>
      </c>
      <c r="T115" s="4">
        <v>27.3</v>
      </c>
      <c r="U115" s="4">
        <v>428</v>
      </c>
      <c r="V115" s="4">
        <v>11.7</v>
      </c>
      <c r="W115" s="4">
        <v>26.1</v>
      </c>
      <c r="X115" s="4">
        <v>2360</v>
      </c>
      <c r="Y115" s="4">
        <v>0.4</v>
      </c>
      <c r="Z115">
        <f t="shared" si="9"/>
        <v>68</v>
      </c>
      <c r="AA115">
        <f t="shared" si="5"/>
        <v>1.213782895249375</v>
      </c>
      <c r="AB115">
        <f t="shared" si="6"/>
        <v>1074.9360320398425</v>
      </c>
      <c r="AC115">
        <f t="shared" si="7"/>
        <v>0.40465116279069768</v>
      </c>
      <c r="AD115">
        <f t="shared" si="8"/>
        <v>-3.3000000000001251E-2</v>
      </c>
    </row>
    <row r="116" spans="1:33">
      <c r="A116" s="4">
        <v>209</v>
      </c>
      <c r="B116" s="7"/>
      <c r="C116" s="4">
        <v>119</v>
      </c>
      <c r="D116" s="4">
        <v>40</v>
      </c>
      <c r="E116" s="4">
        <v>31</v>
      </c>
      <c r="F116" s="4" t="s">
        <v>1519</v>
      </c>
      <c r="G116" s="4" t="s">
        <v>1525</v>
      </c>
      <c r="H116" s="4">
        <v>4</v>
      </c>
      <c r="I116" s="4">
        <v>151</v>
      </c>
      <c r="J116" s="4">
        <v>155</v>
      </c>
      <c r="K116" s="4">
        <v>25</v>
      </c>
      <c r="L116" s="4">
        <v>24</v>
      </c>
      <c r="M116" s="93" t="s">
        <v>1425</v>
      </c>
      <c r="N116" s="4">
        <v>137</v>
      </c>
      <c r="O116" s="4">
        <v>37.5</v>
      </c>
      <c r="P116" s="4">
        <v>39000</v>
      </c>
      <c r="Q116" s="4">
        <v>1.49</v>
      </c>
      <c r="R116" s="4">
        <v>5.8</v>
      </c>
      <c r="S116" s="4">
        <v>217</v>
      </c>
      <c r="T116" s="4">
        <v>32</v>
      </c>
      <c r="U116" s="4">
        <v>406</v>
      </c>
      <c r="V116" s="4">
        <v>13</v>
      </c>
      <c r="W116" s="4">
        <v>15.8</v>
      </c>
      <c r="X116" s="4">
        <v>1170</v>
      </c>
      <c r="Y116" s="4">
        <v>0.8</v>
      </c>
      <c r="Z116">
        <f t="shared" si="9"/>
        <v>77.5</v>
      </c>
      <c r="AA116">
        <f t="shared" si="5"/>
        <v>1.5916881217740728</v>
      </c>
      <c r="AB116">
        <f t="shared" si="6"/>
        <v>864.84880752700417</v>
      </c>
      <c r="AC116">
        <f t="shared" si="7"/>
        <v>0.42133333333333334</v>
      </c>
      <c r="AD116">
        <f t="shared" si="8"/>
        <v>-5.3999999999994941E-2</v>
      </c>
    </row>
    <row r="117" spans="1:33">
      <c r="A117" s="4">
        <v>7</v>
      </c>
      <c r="B117" s="4" t="s">
        <v>1337</v>
      </c>
      <c r="C117" s="4">
        <v>19</v>
      </c>
      <c r="D117" s="4">
        <v>11.2</v>
      </c>
      <c r="E117" s="4">
        <v>9.6</v>
      </c>
      <c r="F117" s="4" t="s">
        <v>1519</v>
      </c>
      <c r="G117" s="4" t="s">
        <v>1527</v>
      </c>
      <c r="H117" s="4">
        <v>7.3</v>
      </c>
      <c r="I117" s="4">
        <v>19.399999999999999</v>
      </c>
      <c r="J117" s="4">
        <v>26.7</v>
      </c>
      <c r="K117" s="4">
        <v>28</v>
      </c>
      <c r="L117" s="4">
        <v>21</v>
      </c>
      <c r="M117" s="4">
        <v>156</v>
      </c>
      <c r="N117" s="4">
        <v>193</v>
      </c>
      <c r="O117" s="4">
        <v>5.51</v>
      </c>
      <c r="P117" s="4">
        <v>29000</v>
      </c>
      <c r="Q117" s="4">
        <v>1.7</v>
      </c>
      <c r="R117" s="4">
        <v>4.9000000000000004</v>
      </c>
      <c r="S117" s="4">
        <v>27</v>
      </c>
      <c r="T117" s="4">
        <v>4.8</v>
      </c>
      <c r="U117" s="4">
        <v>402</v>
      </c>
      <c r="V117" s="4">
        <v>1.9</v>
      </c>
      <c r="W117" s="4">
        <v>1.88</v>
      </c>
      <c r="X117" s="4">
        <v>1150</v>
      </c>
      <c r="Y117" s="4">
        <v>1</v>
      </c>
      <c r="Z117">
        <f t="shared" si="9"/>
        <v>85.714285714285722</v>
      </c>
      <c r="AA117">
        <f t="shared" si="5"/>
        <v>2.9749283453809512</v>
      </c>
      <c r="AB117">
        <f t="shared" si="6"/>
        <v>43.891574428836783</v>
      </c>
      <c r="AC117">
        <f t="shared" si="7"/>
        <v>0.3411978221415608</v>
      </c>
      <c r="AD117">
        <f t="shared" si="8"/>
        <v>-1.600000000000712E-3</v>
      </c>
      <c r="AF117">
        <v>3</v>
      </c>
      <c r="AG117">
        <f>$AA$3*AF117/($AA$4+AF117^$AA$5)</f>
        <v>8.2756172218924622</v>
      </c>
    </row>
    <row r="118" spans="1:33">
      <c r="A118" s="4">
        <v>12</v>
      </c>
      <c r="B118" s="4" t="s">
        <v>1342</v>
      </c>
      <c r="C118" s="4">
        <v>20</v>
      </c>
      <c r="D118" s="4">
        <v>9</v>
      </c>
      <c r="E118" s="4">
        <v>7.6</v>
      </c>
      <c r="F118" s="4" t="s">
        <v>1519</v>
      </c>
      <c r="G118" s="4" t="s">
        <v>1527</v>
      </c>
      <c r="H118" s="4">
        <v>6.23</v>
      </c>
      <c r="I118" s="4">
        <v>12.42</v>
      </c>
      <c r="J118" s="4">
        <v>18.649999999999999</v>
      </c>
      <c r="K118" s="4">
        <v>31</v>
      </c>
      <c r="L118" s="4">
        <v>21</v>
      </c>
      <c r="M118" s="4">
        <v>187</v>
      </c>
      <c r="N118" s="4">
        <v>170</v>
      </c>
      <c r="O118" s="4">
        <v>3.85</v>
      </c>
      <c r="P118" s="4">
        <v>29600</v>
      </c>
      <c r="Q118" s="4">
        <v>1.74</v>
      </c>
      <c r="R118" s="4">
        <v>5.2</v>
      </c>
      <c r="S118" s="4">
        <v>20</v>
      </c>
      <c r="T118" s="4">
        <v>4.7</v>
      </c>
      <c r="U118" s="4">
        <v>343</v>
      </c>
      <c r="V118" s="4">
        <v>1.6</v>
      </c>
      <c r="W118" s="4">
        <v>1.42</v>
      </c>
      <c r="X118" s="4">
        <v>820</v>
      </c>
      <c r="Y118" s="4">
        <v>1.1000000000000001</v>
      </c>
      <c r="Z118">
        <f t="shared" si="9"/>
        <v>84.444444444444443</v>
      </c>
      <c r="AA118">
        <f t="shared" si="5"/>
        <v>3.0779866054613527</v>
      </c>
      <c r="AB118">
        <f t="shared" si="6"/>
        <v>20.448605140386931</v>
      </c>
      <c r="AC118">
        <f t="shared" si="7"/>
        <v>0.36883116883116879</v>
      </c>
      <c r="AD118">
        <f t="shared" si="8"/>
        <v>-1.6000000000000014E-2</v>
      </c>
      <c r="AF118">
        <v>8</v>
      </c>
      <c r="AG118">
        <f>$AA$3*AF118/($AA$4+AF118^$AA$5)</f>
        <v>16.97173443068414</v>
      </c>
    </row>
    <row r="119" spans="1:33">
      <c r="A119" s="4">
        <v>32</v>
      </c>
      <c r="B119" s="4" t="s">
        <v>1367</v>
      </c>
      <c r="C119" s="4">
        <v>20</v>
      </c>
      <c r="D119" s="4">
        <v>9.6</v>
      </c>
      <c r="E119" s="4">
        <v>8.3000000000000007</v>
      </c>
      <c r="F119" s="4" t="s">
        <v>1519</v>
      </c>
      <c r="G119" s="4" t="s">
        <v>1527</v>
      </c>
      <c r="H119" s="4">
        <v>5.95</v>
      </c>
      <c r="I119" s="4">
        <v>21.92</v>
      </c>
      <c r="J119" s="4">
        <v>27.87</v>
      </c>
      <c r="K119" s="4">
        <v>40</v>
      </c>
      <c r="L119" s="4">
        <v>32</v>
      </c>
      <c r="M119" s="4">
        <v>164</v>
      </c>
      <c r="N119" s="4">
        <v>163</v>
      </c>
      <c r="O119" s="4">
        <v>8.86</v>
      </c>
      <c r="P119" s="4">
        <v>36900</v>
      </c>
      <c r="Q119" s="4">
        <v>1.22</v>
      </c>
      <c r="R119" s="4">
        <v>4.5</v>
      </c>
      <c r="S119" s="4">
        <v>38</v>
      </c>
      <c r="T119" s="4">
        <v>4.5</v>
      </c>
      <c r="U119" s="4">
        <v>355</v>
      </c>
      <c r="V119" s="4">
        <v>1.6</v>
      </c>
      <c r="W119" s="4">
        <v>3.37</v>
      </c>
      <c r="X119" s="4">
        <v>1970</v>
      </c>
      <c r="Y119" s="4">
        <v>0.5</v>
      </c>
      <c r="Z119">
        <f t="shared" si="9"/>
        <v>86.458333333333343</v>
      </c>
      <c r="AA119">
        <f t="shared" si="5"/>
        <v>2.6955282491553452</v>
      </c>
      <c r="AB119">
        <f t="shared" si="6"/>
        <v>31.410103606015763</v>
      </c>
      <c r="AC119">
        <f t="shared" si="7"/>
        <v>0.38036117381489848</v>
      </c>
      <c r="AD119">
        <f t="shared" si="8"/>
        <v>3.0999999999998806E-3</v>
      </c>
      <c r="AF119">
        <v>28</v>
      </c>
      <c r="AG119">
        <f>$AA$3*AF119/($AA$4+AF119^$AA$5)</f>
        <v>32.595888424054941</v>
      </c>
    </row>
    <row r="120" spans="1:33">
      <c r="A120" s="4">
        <v>33</v>
      </c>
      <c r="B120" s="4" t="s">
        <v>1367</v>
      </c>
      <c r="C120" s="4">
        <v>20</v>
      </c>
      <c r="D120" s="4">
        <v>12.2</v>
      </c>
      <c r="E120" s="4">
        <v>8.6</v>
      </c>
      <c r="F120" s="4" t="s">
        <v>1519</v>
      </c>
      <c r="G120" s="4" t="s">
        <v>1527</v>
      </c>
      <c r="H120" s="4">
        <v>5.15</v>
      </c>
      <c r="I120" s="4">
        <v>32.81</v>
      </c>
      <c r="J120" s="4">
        <v>37.96</v>
      </c>
      <c r="K120" s="4">
        <v>28</v>
      </c>
      <c r="L120" s="4">
        <v>24</v>
      </c>
      <c r="M120" s="4">
        <v>166</v>
      </c>
      <c r="N120" s="4">
        <v>167</v>
      </c>
      <c r="O120" s="4">
        <v>9.3000000000000007</v>
      </c>
      <c r="P120" s="4">
        <v>36000</v>
      </c>
      <c r="Q120" s="4">
        <v>1.6</v>
      </c>
      <c r="R120" s="4">
        <v>5.8</v>
      </c>
      <c r="S120" s="4">
        <v>54</v>
      </c>
      <c r="T120" s="4">
        <v>5.7</v>
      </c>
      <c r="U120" s="4">
        <v>367</v>
      </c>
      <c r="V120" s="4">
        <v>2.1</v>
      </c>
      <c r="W120" s="4">
        <v>3.48</v>
      </c>
      <c r="X120" s="4">
        <v>1630</v>
      </c>
      <c r="Y120" s="4">
        <v>0.6</v>
      </c>
      <c r="Z120">
        <f t="shared" si="9"/>
        <v>70.491803278688522</v>
      </c>
      <c r="AA120">
        <f t="shared" si="5"/>
        <v>2.677478423417643</v>
      </c>
      <c r="AB120">
        <f t="shared" si="6"/>
        <v>35.076261825083563</v>
      </c>
      <c r="AC120">
        <f t="shared" si="7"/>
        <v>0.37419354838709673</v>
      </c>
      <c r="AD120">
        <f t="shared" si="8"/>
        <v>-8.4000000000017394E-3</v>
      </c>
      <c r="AF120">
        <v>29</v>
      </c>
      <c r="AG120">
        <f>$AA$3*AF120/($AA$4+AF120^$AA$5)</f>
        <v>33.052247410949654</v>
      </c>
    </row>
    <row r="121" spans="1:33">
      <c r="A121" s="4">
        <v>37</v>
      </c>
      <c r="B121" s="4" t="s">
        <v>1369</v>
      </c>
      <c r="C121" s="4">
        <v>20</v>
      </c>
      <c r="D121" s="4">
        <v>10.1</v>
      </c>
      <c r="E121" s="4">
        <v>9.4</v>
      </c>
      <c r="F121" s="4" t="s">
        <v>1519</v>
      </c>
      <c r="G121" s="4" t="s">
        <v>1527</v>
      </c>
      <c r="H121" s="4">
        <v>6.85</v>
      </c>
      <c r="I121" s="4">
        <v>19.2</v>
      </c>
      <c r="J121" s="4">
        <v>26.05</v>
      </c>
      <c r="K121" s="4">
        <v>35</v>
      </c>
      <c r="L121" s="4">
        <v>26</v>
      </c>
      <c r="M121" s="5">
        <v>163</v>
      </c>
      <c r="N121" s="4" t="s">
        <v>1370</v>
      </c>
      <c r="O121" s="4">
        <v>6.78</v>
      </c>
      <c r="P121" s="4">
        <v>30200</v>
      </c>
      <c r="Q121" s="4">
        <v>1.82</v>
      </c>
      <c r="R121" s="4">
        <v>5.5</v>
      </c>
      <c r="S121" s="4">
        <v>37</v>
      </c>
      <c r="T121" s="4">
        <v>4.4000000000000004</v>
      </c>
      <c r="U121" s="4">
        <v>412</v>
      </c>
      <c r="V121" s="4">
        <v>1.8</v>
      </c>
      <c r="W121" s="4">
        <v>2.61</v>
      </c>
      <c r="X121" s="4">
        <v>1540</v>
      </c>
      <c r="Y121" s="4">
        <v>0.7</v>
      </c>
      <c r="Z121">
        <f t="shared" si="9"/>
        <v>93.069306930693074</v>
      </c>
      <c r="AA121">
        <f t="shared" si="5"/>
        <v>2.8291412513772363</v>
      </c>
      <c r="AB121">
        <f t="shared" si="6"/>
        <v>43.176184694352315</v>
      </c>
      <c r="AC121">
        <f t="shared" si="7"/>
        <v>0.38495575221238937</v>
      </c>
      <c r="AD121" t="e">
        <f t="shared" si="8"/>
        <v>#VALUE!</v>
      </c>
    </row>
    <row r="122" spans="1:33">
      <c r="A122" s="4">
        <v>38</v>
      </c>
      <c r="B122" s="4" t="s">
        <v>1369</v>
      </c>
      <c r="C122" s="4">
        <v>20</v>
      </c>
      <c r="D122" s="4">
        <v>11.5</v>
      </c>
      <c r="E122" s="4">
        <v>9.3000000000000007</v>
      </c>
      <c r="F122" s="4" t="s">
        <v>1519</v>
      </c>
      <c r="G122" s="4" t="s">
        <v>1527</v>
      </c>
      <c r="H122" s="5">
        <v>5.7</v>
      </c>
      <c r="I122" s="4">
        <v>23.22</v>
      </c>
      <c r="J122" s="4">
        <v>28.92</v>
      </c>
      <c r="K122" s="5">
        <v>35</v>
      </c>
      <c r="L122" s="5">
        <v>28</v>
      </c>
      <c r="M122" s="4">
        <v>194</v>
      </c>
      <c r="N122" s="4" t="s">
        <v>1371</v>
      </c>
      <c r="O122" s="4">
        <v>8.17</v>
      </c>
      <c r="P122" s="4">
        <v>40000</v>
      </c>
      <c r="Q122" s="4">
        <v>1.47</v>
      </c>
      <c r="R122" s="4">
        <v>7</v>
      </c>
      <c r="S122" s="4">
        <v>57</v>
      </c>
      <c r="T122" s="4">
        <v>6.4</v>
      </c>
      <c r="U122" s="4">
        <v>308</v>
      </c>
      <c r="V122" s="4">
        <v>2</v>
      </c>
      <c r="W122" s="4">
        <v>2.98</v>
      </c>
      <c r="X122" s="4">
        <v>1280</v>
      </c>
      <c r="Y122" s="4">
        <v>0.7</v>
      </c>
      <c r="Z122">
        <f t="shared" si="9"/>
        <v>80.869565217391312</v>
      </c>
      <c r="AA122">
        <f t="shared" si="5"/>
        <v>2.7620510235101894</v>
      </c>
      <c r="AB122">
        <f t="shared" si="6"/>
        <v>42.744776819184175</v>
      </c>
      <c r="AC122">
        <f t="shared" si="7"/>
        <v>0.36474908200734396</v>
      </c>
      <c r="AD122" t="e">
        <f t="shared" si="8"/>
        <v>#VALUE!</v>
      </c>
    </row>
    <row r="123" spans="1:33">
      <c r="A123" s="4">
        <v>65</v>
      </c>
      <c r="B123" s="4" t="s">
        <v>1383</v>
      </c>
      <c r="C123" s="4">
        <v>21</v>
      </c>
      <c r="D123" s="4">
        <v>12.2</v>
      </c>
      <c r="E123" s="4">
        <v>9.1999999999999993</v>
      </c>
      <c r="F123" s="4" t="s">
        <v>1519</v>
      </c>
      <c r="G123" s="4" t="s">
        <v>1527</v>
      </c>
      <c r="H123" s="4">
        <v>5.95</v>
      </c>
      <c r="I123" s="4">
        <v>33.299999999999997</v>
      </c>
      <c r="J123" s="4">
        <v>39.25</v>
      </c>
      <c r="K123" s="4">
        <v>41</v>
      </c>
      <c r="L123" s="4">
        <v>35</v>
      </c>
      <c r="M123" s="4">
        <v>175</v>
      </c>
      <c r="N123" s="4">
        <v>185</v>
      </c>
      <c r="O123" s="4">
        <v>13.72</v>
      </c>
      <c r="P123" s="4">
        <v>23400</v>
      </c>
      <c r="Q123" s="4">
        <v>2.19</v>
      </c>
      <c r="R123" s="4">
        <v>5.0999999999999996</v>
      </c>
      <c r="S123" s="4">
        <v>70</v>
      </c>
      <c r="T123" s="4">
        <v>6</v>
      </c>
      <c r="U123" s="4">
        <v>339</v>
      </c>
      <c r="V123" s="4">
        <v>2</v>
      </c>
      <c r="W123" s="4">
        <v>4.82</v>
      </c>
      <c r="X123" s="4">
        <v>2290</v>
      </c>
      <c r="Y123" s="4">
        <v>0.4</v>
      </c>
      <c r="Z123">
        <f t="shared" si="9"/>
        <v>75.409836065573771</v>
      </c>
      <c r="AA123">
        <f t="shared" si="5"/>
        <v>2.4790114576087117</v>
      </c>
      <c r="AB123">
        <f t="shared" si="6"/>
        <v>45.171686986954967</v>
      </c>
      <c r="AC123">
        <f t="shared" si="7"/>
        <v>0.35131195335276966</v>
      </c>
      <c r="AD123">
        <f t="shared" si="8"/>
        <v>1.7000000000001236E-2</v>
      </c>
    </row>
    <row r="124" spans="1:33">
      <c r="A124" s="4">
        <v>72</v>
      </c>
      <c r="B124" s="4" t="s">
        <v>1342</v>
      </c>
      <c r="C124" s="4">
        <v>24</v>
      </c>
      <c r="D124" s="4">
        <v>11.9</v>
      </c>
      <c r="E124" s="4">
        <v>11.6</v>
      </c>
      <c r="F124" s="4" t="s">
        <v>1519</v>
      </c>
      <c r="G124" s="4" t="s">
        <v>1527</v>
      </c>
      <c r="H124" s="4">
        <v>5.5</v>
      </c>
      <c r="I124" s="4">
        <v>14.04</v>
      </c>
      <c r="J124" s="4">
        <v>19.54</v>
      </c>
      <c r="K124" s="4">
        <v>36</v>
      </c>
      <c r="L124" s="4">
        <v>26</v>
      </c>
      <c r="M124" s="4">
        <v>160</v>
      </c>
      <c r="N124" s="4">
        <v>160</v>
      </c>
      <c r="O124" s="4">
        <v>5.05</v>
      </c>
      <c r="P124" s="4">
        <v>48000</v>
      </c>
      <c r="Q124" s="4">
        <v>1.21</v>
      </c>
      <c r="R124" s="4">
        <v>5.8</v>
      </c>
      <c r="S124" s="4">
        <v>29</v>
      </c>
      <c r="T124" s="4">
        <v>6.2</v>
      </c>
      <c r="U124" s="4">
        <v>373</v>
      </c>
      <c r="V124" s="4">
        <v>2.2999999999999998</v>
      </c>
      <c r="W124" s="4">
        <v>1.94</v>
      </c>
      <c r="X124" s="4">
        <v>810</v>
      </c>
      <c r="Y124" s="4">
        <v>1.2</v>
      </c>
      <c r="Z124">
        <f t="shared" si="9"/>
        <v>97.47899159663865</v>
      </c>
      <c r="AA124">
        <f t="shared" si="5"/>
        <v>2.9621841358093617</v>
      </c>
      <c r="AB124">
        <f t="shared" si="6"/>
        <v>74.611862903663479</v>
      </c>
      <c r="AC124">
        <f t="shared" si="7"/>
        <v>0.38415841584158417</v>
      </c>
      <c r="AD124">
        <f t="shared" si="8"/>
        <v>-6.0000000000002274E-3</v>
      </c>
    </row>
    <row r="125" spans="1:33">
      <c r="A125" s="4">
        <v>81</v>
      </c>
      <c r="B125" s="4" t="s">
        <v>1391</v>
      </c>
      <c r="C125" s="4">
        <v>25</v>
      </c>
      <c r="D125" s="4">
        <v>12.4</v>
      </c>
      <c r="E125" s="4">
        <v>12.6</v>
      </c>
      <c r="F125" s="4" t="s">
        <v>1519</v>
      </c>
      <c r="G125" s="4" t="s">
        <v>1527</v>
      </c>
      <c r="H125" s="4">
        <v>6.26</v>
      </c>
      <c r="I125" s="4">
        <v>21.14</v>
      </c>
      <c r="J125" s="4">
        <v>27.4</v>
      </c>
      <c r="K125" s="4">
        <v>32</v>
      </c>
      <c r="L125" s="4">
        <v>25</v>
      </c>
      <c r="M125" s="4">
        <v>135</v>
      </c>
      <c r="N125" s="4">
        <v>124</v>
      </c>
      <c r="O125" s="4">
        <v>6.75</v>
      </c>
      <c r="P125" s="4">
        <v>40100</v>
      </c>
      <c r="Q125" s="4">
        <v>1.37</v>
      </c>
      <c r="R125" s="4">
        <v>5.5</v>
      </c>
      <c r="S125" s="4">
        <v>37</v>
      </c>
      <c r="T125" s="4">
        <v>6.1</v>
      </c>
      <c r="U125" s="4">
        <v>408</v>
      </c>
      <c r="V125" s="4">
        <v>2.5</v>
      </c>
      <c r="W125" s="4">
        <v>3.02</v>
      </c>
      <c r="X125" s="4">
        <v>1110</v>
      </c>
      <c r="Y125" s="4">
        <v>0.8</v>
      </c>
      <c r="Z125">
        <f t="shared" si="9"/>
        <v>101.61290322580645</v>
      </c>
      <c r="AA125">
        <f t="shared" si="5"/>
        <v>2.7550383755993568</v>
      </c>
      <c r="AB125">
        <f t="shared" si="6"/>
        <v>96.923269385921344</v>
      </c>
      <c r="AC125">
        <f t="shared" si="7"/>
        <v>0.44740740740740742</v>
      </c>
      <c r="AD125">
        <f t="shared" si="8"/>
        <v>1.4800000000001035E-2</v>
      </c>
    </row>
    <row r="126" spans="1:33">
      <c r="A126" s="4">
        <v>95</v>
      </c>
      <c r="B126" s="4" t="s">
        <v>1369</v>
      </c>
      <c r="C126" s="4">
        <v>28</v>
      </c>
      <c r="D126" s="4">
        <v>15.6</v>
      </c>
      <c r="E126" s="4">
        <v>14.6</v>
      </c>
      <c r="F126" s="4" t="s">
        <v>1519</v>
      </c>
      <c r="G126" s="4" t="s">
        <v>1527</v>
      </c>
      <c r="H126" s="4">
        <v>7.8</v>
      </c>
      <c r="I126" s="4">
        <v>19.29</v>
      </c>
      <c r="J126" s="4">
        <v>27.09</v>
      </c>
      <c r="K126" s="4">
        <v>36</v>
      </c>
      <c r="L126" s="4">
        <v>26</v>
      </c>
      <c r="M126" s="4">
        <v>176</v>
      </c>
      <c r="N126" s="4">
        <v>169</v>
      </c>
      <c r="O126" s="4">
        <v>6.94</v>
      </c>
      <c r="P126" s="4">
        <v>28400</v>
      </c>
      <c r="Q126" s="4">
        <v>2.11</v>
      </c>
      <c r="R126" s="4">
        <v>6</v>
      </c>
      <c r="S126" s="4">
        <v>42</v>
      </c>
      <c r="T126" s="4">
        <v>9.1999999999999993</v>
      </c>
      <c r="U126" s="4">
        <v>375</v>
      </c>
      <c r="V126" s="4">
        <v>3.5</v>
      </c>
      <c r="W126" s="4">
        <v>2.58</v>
      </c>
      <c r="X126" s="4">
        <v>750</v>
      </c>
      <c r="Y126" s="4">
        <v>1.4</v>
      </c>
      <c r="Z126">
        <f t="shared" si="9"/>
        <v>93.589743589743591</v>
      </c>
      <c r="AA126">
        <f t="shared" si="5"/>
        <v>2.8347653638665826</v>
      </c>
      <c r="AB126">
        <f t="shared" si="6"/>
        <v>138.42074604327343</v>
      </c>
      <c r="AC126">
        <f t="shared" si="7"/>
        <v>0.37175792507204608</v>
      </c>
      <c r="AD126">
        <f t="shared" si="8"/>
        <v>1.9999999999953388E-4</v>
      </c>
    </row>
    <row r="127" spans="1:33">
      <c r="A127" s="4">
        <v>102</v>
      </c>
      <c r="B127" s="4" t="s">
        <v>1342</v>
      </c>
      <c r="C127" s="4">
        <v>32</v>
      </c>
      <c r="D127" s="4">
        <v>18</v>
      </c>
      <c r="E127" s="4">
        <v>13</v>
      </c>
      <c r="F127" s="4" t="s">
        <v>1519</v>
      </c>
      <c r="G127" s="4" t="s">
        <v>1527</v>
      </c>
      <c r="H127" s="4">
        <v>4.5999999999999996</v>
      </c>
      <c r="I127" s="4">
        <v>30.3</v>
      </c>
      <c r="J127" s="4">
        <v>34.9</v>
      </c>
      <c r="K127" s="4">
        <v>32</v>
      </c>
      <c r="L127" s="4">
        <v>28</v>
      </c>
      <c r="M127" s="4">
        <v>163</v>
      </c>
      <c r="N127" s="4">
        <v>169</v>
      </c>
      <c r="O127" s="4">
        <v>9.6999999999999993</v>
      </c>
      <c r="P127" s="4">
        <v>39500</v>
      </c>
      <c r="Q127" s="4">
        <v>1.4</v>
      </c>
      <c r="R127" s="4">
        <v>5.5</v>
      </c>
      <c r="S127" s="4">
        <v>53</v>
      </c>
      <c r="T127" s="4">
        <v>11.2</v>
      </c>
      <c r="U127" s="4">
        <v>343</v>
      </c>
      <c r="V127" s="4">
        <v>3.8</v>
      </c>
      <c r="W127" s="4">
        <v>3.6</v>
      </c>
      <c r="X127" s="4">
        <v>870</v>
      </c>
      <c r="Y127" s="4">
        <v>1.1000000000000001</v>
      </c>
      <c r="Z127">
        <f t="shared" si="9"/>
        <v>72.222222222222229</v>
      </c>
      <c r="AA127">
        <f t="shared" si="5"/>
        <v>2.658124944524662</v>
      </c>
      <c r="AB127">
        <f t="shared" si="6"/>
        <v>106.95437966306302</v>
      </c>
      <c r="AC127">
        <f t="shared" si="7"/>
        <v>0.37113402061855671</v>
      </c>
      <c r="AD127">
        <f t="shared" si="8"/>
        <v>-1.6000000000000014E-2</v>
      </c>
    </row>
    <row r="128" spans="1:33">
      <c r="A128" s="4">
        <v>106</v>
      </c>
      <c r="B128" s="4" t="s">
        <v>1369</v>
      </c>
      <c r="C128" s="4">
        <v>32</v>
      </c>
      <c r="D128" s="4">
        <v>21</v>
      </c>
      <c r="E128" s="4">
        <v>14</v>
      </c>
      <c r="F128" s="4" t="s">
        <v>1519</v>
      </c>
      <c r="G128" s="4" t="s">
        <v>1527</v>
      </c>
      <c r="H128" s="4">
        <v>4.4000000000000004</v>
      </c>
      <c r="I128" s="4">
        <v>60.4</v>
      </c>
      <c r="J128" s="4">
        <v>64.8</v>
      </c>
      <c r="K128" s="4">
        <v>31</v>
      </c>
      <c r="L128" s="4">
        <v>29</v>
      </c>
      <c r="M128" s="4">
        <v>165</v>
      </c>
      <c r="N128" s="4">
        <v>172</v>
      </c>
      <c r="O128" s="4">
        <v>18.8</v>
      </c>
      <c r="P128" s="4">
        <v>28200</v>
      </c>
      <c r="Q128" s="4">
        <v>1.86</v>
      </c>
      <c r="R128" s="4">
        <v>5.2</v>
      </c>
      <c r="S128" s="4">
        <v>98</v>
      </c>
      <c r="T128" s="4">
        <v>14.8</v>
      </c>
      <c r="U128" s="4">
        <v>359</v>
      </c>
      <c r="V128" s="4">
        <v>5.3</v>
      </c>
      <c r="W128" s="4">
        <v>6.9</v>
      </c>
      <c r="X128" s="4">
        <v>1270</v>
      </c>
      <c r="Y128" s="4">
        <v>0.8</v>
      </c>
      <c r="Z128">
        <f t="shared" si="9"/>
        <v>66.666666666666671</v>
      </c>
      <c r="AA128">
        <f t="shared" si="5"/>
        <v>2.23099603303206</v>
      </c>
      <c r="AB128">
        <f t="shared" si="6"/>
        <v>138.5094543745071</v>
      </c>
      <c r="AC128">
        <f t="shared" si="7"/>
        <v>0.36702127659574468</v>
      </c>
      <c r="AD128">
        <f t="shared" si="8"/>
        <v>-3.2000000000000028E-2</v>
      </c>
    </row>
    <row r="129" spans="1:33">
      <c r="A129" s="4">
        <v>107</v>
      </c>
      <c r="B129" s="4" t="s">
        <v>1402</v>
      </c>
      <c r="C129" s="4">
        <v>32</v>
      </c>
      <c r="D129" s="4">
        <v>24</v>
      </c>
      <c r="E129" s="4">
        <v>13</v>
      </c>
      <c r="F129" s="4" t="s">
        <v>1519</v>
      </c>
      <c r="G129" s="4" t="s">
        <v>1527</v>
      </c>
      <c r="H129" s="4">
        <v>4.5</v>
      </c>
      <c r="I129" s="4">
        <v>82</v>
      </c>
      <c r="J129" s="4">
        <v>86.5</v>
      </c>
      <c r="K129" s="4">
        <v>28</v>
      </c>
      <c r="L129" s="4">
        <v>27</v>
      </c>
      <c r="M129" s="4">
        <v>143</v>
      </c>
      <c r="N129" s="4">
        <v>156</v>
      </c>
      <c r="O129" s="4">
        <v>23</v>
      </c>
      <c r="P129" s="4">
        <v>29000</v>
      </c>
      <c r="Q129" s="4">
        <v>1.77</v>
      </c>
      <c r="R129" s="4">
        <v>5.0999999999999996</v>
      </c>
      <c r="S129" s="4">
        <v>117</v>
      </c>
      <c r="T129" s="4">
        <v>17.5</v>
      </c>
      <c r="U129" s="4">
        <v>363</v>
      </c>
      <c r="V129" s="4">
        <v>6.3</v>
      </c>
      <c r="W129" s="4">
        <v>9</v>
      </c>
      <c r="X129" s="4">
        <v>1310</v>
      </c>
      <c r="Y129" s="4">
        <v>0.7</v>
      </c>
      <c r="Z129">
        <f t="shared" si="9"/>
        <v>54.166666666666664</v>
      </c>
      <c r="AA129">
        <f t="shared" si="5"/>
        <v>2.0319687842295671</v>
      </c>
      <c r="AB129">
        <f t="shared" si="6"/>
        <v>120.29770875011464</v>
      </c>
      <c r="AC129">
        <f t="shared" si="7"/>
        <v>0.39130434782608697</v>
      </c>
      <c r="AD129">
        <f t="shared" si="8"/>
        <v>3.9999999999999147E-2</v>
      </c>
    </row>
    <row r="130" spans="1:33">
      <c r="A130" s="4">
        <v>123</v>
      </c>
      <c r="B130" s="4" t="s">
        <v>1367</v>
      </c>
      <c r="C130" s="4">
        <v>32</v>
      </c>
      <c r="D130" s="4">
        <v>15</v>
      </c>
      <c r="E130" s="4">
        <v>13</v>
      </c>
      <c r="F130" s="4" t="s">
        <v>1519</v>
      </c>
      <c r="G130" s="4" t="s">
        <v>1527</v>
      </c>
      <c r="H130" s="4">
        <v>7</v>
      </c>
      <c r="I130" s="4">
        <v>24.9</v>
      </c>
      <c r="J130" s="4">
        <v>31.9</v>
      </c>
      <c r="K130" s="4">
        <v>33</v>
      </c>
      <c r="L130" s="4">
        <v>26</v>
      </c>
      <c r="M130" s="4">
        <v>146</v>
      </c>
      <c r="N130" s="4">
        <v>141</v>
      </c>
      <c r="O130" s="4">
        <v>8.1999999999999993</v>
      </c>
      <c r="P130" s="4">
        <v>40000</v>
      </c>
      <c r="Q130" s="4">
        <v>1.44</v>
      </c>
      <c r="R130" s="4">
        <v>5.8</v>
      </c>
      <c r="S130" s="4">
        <v>48</v>
      </c>
      <c r="T130" s="4">
        <v>7</v>
      </c>
      <c r="U130" s="4">
        <v>422</v>
      </c>
      <c r="V130" s="4">
        <v>3</v>
      </c>
      <c r="W130" s="4">
        <v>3.4</v>
      </c>
      <c r="X130" s="4">
        <v>1170</v>
      </c>
      <c r="Y130" s="4">
        <v>0.9</v>
      </c>
      <c r="Z130">
        <f t="shared" si="9"/>
        <v>86.666666666666671</v>
      </c>
      <c r="AA130">
        <f t="shared" si="5"/>
        <v>2.6905756963886103</v>
      </c>
      <c r="AB130">
        <f t="shared" si="6"/>
        <v>106.2842294718932</v>
      </c>
      <c r="AC130">
        <f t="shared" si="7"/>
        <v>0.41463414634146345</v>
      </c>
      <c r="AD130">
        <f t="shared" si="8"/>
        <v>-5.999999999998451E-3</v>
      </c>
    </row>
    <row r="131" spans="1:33">
      <c r="A131" s="4">
        <v>127</v>
      </c>
      <c r="B131" s="4" t="s">
        <v>1342</v>
      </c>
      <c r="C131" s="4">
        <v>32</v>
      </c>
      <c r="D131" s="4">
        <v>19</v>
      </c>
      <c r="E131" s="4">
        <v>17</v>
      </c>
      <c r="F131" s="4" t="s">
        <v>1519</v>
      </c>
      <c r="G131" s="4" t="s">
        <v>1527</v>
      </c>
      <c r="H131" s="4">
        <v>5.9</v>
      </c>
      <c r="I131" s="4">
        <v>36.799999999999997</v>
      </c>
      <c r="J131" s="4">
        <v>42.7</v>
      </c>
      <c r="K131" s="4">
        <v>35</v>
      </c>
      <c r="L131" s="4">
        <v>30</v>
      </c>
      <c r="M131" s="4">
        <v>145</v>
      </c>
      <c r="N131" s="4">
        <v>137</v>
      </c>
      <c r="O131" s="4">
        <v>12.8</v>
      </c>
      <c r="P131" s="4">
        <v>24800</v>
      </c>
      <c r="Q131" s="4">
        <v>2.09</v>
      </c>
      <c r="R131" s="4">
        <v>5.2</v>
      </c>
      <c r="S131" s="4">
        <v>67</v>
      </c>
      <c r="T131" s="4">
        <v>14.8</v>
      </c>
      <c r="U131" s="4">
        <v>377</v>
      </c>
      <c r="V131" s="4">
        <v>5.6</v>
      </c>
      <c r="W131" s="4">
        <v>5.4</v>
      </c>
      <c r="X131" s="4">
        <v>860</v>
      </c>
      <c r="Y131" s="4">
        <v>1</v>
      </c>
      <c r="Z131">
        <f t="shared" si="9"/>
        <v>89.473684210526315</v>
      </c>
      <c r="AA131">
        <f t="shared" si="5"/>
        <v>2.4035175559333832</v>
      </c>
      <c r="AB131">
        <f t="shared" si="6"/>
        <v>213.05729973994494</v>
      </c>
      <c r="AC131">
        <f t="shared" si="7"/>
        <v>0.421875</v>
      </c>
      <c r="AD131">
        <f t="shared" si="8"/>
        <v>-1.9999999999988916E-3</v>
      </c>
    </row>
    <row r="132" spans="1:33">
      <c r="A132" s="4">
        <v>131</v>
      </c>
      <c r="B132" s="4" t="s">
        <v>1369</v>
      </c>
      <c r="C132" s="4">
        <v>32</v>
      </c>
      <c r="D132" s="4">
        <v>21</v>
      </c>
      <c r="E132" s="4">
        <v>18</v>
      </c>
      <c r="F132" s="4" t="s">
        <v>1519</v>
      </c>
      <c r="G132" s="4" t="s">
        <v>1527</v>
      </c>
      <c r="H132" s="4">
        <v>6.1</v>
      </c>
      <c r="I132" s="4">
        <v>47.8</v>
      </c>
      <c r="J132" s="4">
        <v>53.9</v>
      </c>
      <c r="K132" s="4">
        <v>34</v>
      </c>
      <c r="L132" s="4">
        <v>30</v>
      </c>
      <c r="M132" s="4">
        <v>151</v>
      </c>
      <c r="N132" s="4">
        <v>151</v>
      </c>
      <c r="O132" s="4">
        <v>16.3</v>
      </c>
      <c r="P132" s="4">
        <v>25500</v>
      </c>
      <c r="Q132" s="4">
        <v>2.13</v>
      </c>
      <c r="R132" s="4">
        <v>5.4</v>
      </c>
      <c r="S132" s="4">
        <v>88</v>
      </c>
      <c r="T132" s="4">
        <v>15.5</v>
      </c>
      <c r="U132" s="4">
        <v>391</v>
      </c>
      <c r="V132" s="4">
        <v>6.1</v>
      </c>
      <c r="W132" s="4">
        <v>6.5</v>
      </c>
      <c r="X132" s="4">
        <v>1050</v>
      </c>
      <c r="Y132" s="4">
        <v>0.9</v>
      </c>
      <c r="Z132">
        <f t="shared" si="9"/>
        <v>85.714285714285708</v>
      </c>
      <c r="AA132">
        <f t="shared" si="5"/>
        <v>2.2741430373402771</v>
      </c>
      <c r="AB132">
        <f t="shared" si="6"/>
        <v>247.30257721003329</v>
      </c>
      <c r="AC132">
        <f t="shared" si="7"/>
        <v>0.3987730061349693</v>
      </c>
      <c r="AD132">
        <f t="shared" si="8"/>
        <v>1.4999999999997016E-2</v>
      </c>
    </row>
    <row r="133" spans="1:33">
      <c r="A133" s="4">
        <v>135</v>
      </c>
      <c r="B133" s="4" t="s">
        <v>1395</v>
      </c>
      <c r="C133" s="4">
        <v>32</v>
      </c>
      <c r="D133" s="4">
        <v>19</v>
      </c>
      <c r="E133" s="4">
        <v>18</v>
      </c>
      <c r="F133" s="4" t="s">
        <v>1519</v>
      </c>
      <c r="G133" s="4" t="s">
        <v>1527</v>
      </c>
      <c r="H133" s="4">
        <v>7</v>
      </c>
      <c r="I133" s="4">
        <v>60.1</v>
      </c>
      <c r="J133" s="4">
        <v>67.099999999999994</v>
      </c>
      <c r="K133" s="4">
        <v>25</v>
      </c>
      <c r="L133" s="4">
        <v>22</v>
      </c>
      <c r="M133" s="4">
        <v>139</v>
      </c>
      <c r="N133" s="4">
        <v>135</v>
      </c>
      <c r="O133" s="4">
        <v>14.8</v>
      </c>
      <c r="P133" s="4">
        <v>21600</v>
      </c>
      <c r="Q133" s="4">
        <v>2.29</v>
      </c>
      <c r="R133" s="4">
        <v>4.9000000000000004</v>
      </c>
      <c r="S133" s="4">
        <v>73</v>
      </c>
      <c r="T133" s="4">
        <v>16.3</v>
      </c>
      <c r="U133" s="4">
        <v>387</v>
      </c>
      <c r="V133" s="4">
        <v>6.3</v>
      </c>
      <c r="W133" s="4">
        <v>6.3</v>
      </c>
      <c r="X133" s="4">
        <v>910</v>
      </c>
      <c r="Y133" s="4">
        <v>1</v>
      </c>
      <c r="Z133">
        <f t="shared" si="9"/>
        <v>94.736842105263165</v>
      </c>
      <c r="AA133">
        <f t="shared" si="5"/>
        <v>2.2964511794095208</v>
      </c>
      <c r="AB133">
        <f t="shared" si="6"/>
        <v>246.60144556066862</v>
      </c>
      <c r="AC133">
        <f t="shared" si="7"/>
        <v>0.42567567567567566</v>
      </c>
      <c r="AD133">
        <f t="shared" si="8"/>
        <v>4.9999999999990052E-3</v>
      </c>
    </row>
    <row r="134" spans="1:33">
      <c r="A134" s="4">
        <v>158</v>
      </c>
      <c r="B134" s="4" t="s">
        <v>1427</v>
      </c>
      <c r="C134" s="4">
        <v>42</v>
      </c>
      <c r="D134" s="4">
        <v>24</v>
      </c>
      <c r="E134" s="4">
        <v>22</v>
      </c>
      <c r="F134" s="4" t="s">
        <v>1519</v>
      </c>
      <c r="G134" s="4" t="s">
        <v>1527</v>
      </c>
      <c r="H134" s="4">
        <v>2.7</v>
      </c>
      <c r="I134" s="4">
        <v>65.599999999999994</v>
      </c>
      <c r="J134" s="4">
        <v>68.3</v>
      </c>
      <c r="K134" s="4">
        <v>34</v>
      </c>
      <c r="L134" s="4">
        <v>33</v>
      </c>
      <c r="M134" s="93" t="s">
        <v>1425</v>
      </c>
      <c r="N134" s="4">
        <v>152</v>
      </c>
      <c r="O134" s="4">
        <v>22.4</v>
      </c>
      <c r="P134" s="4">
        <v>31100</v>
      </c>
      <c r="Q134" s="4">
        <v>1.77</v>
      </c>
      <c r="R134" s="4">
        <v>5.5</v>
      </c>
      <c r="S134" s="4">
        <v>123</v>
      </c>
      <c r="T134" s="4">
        <v>21.6</v>
      </c>
      <c r="U134" s="4">
        <v>359</v>
      </c>
      <c r="V134" s="4">
        <v>7.8</v>
      </c>
      <c r="W134" s="4">
        <v>8.9</v>
      </c>
      <c r="X134" s="4">
        <v>1040</v>
      </c>
      <c r="Y134" s="4">
        <v>0.9</v>
      </c>
      <c r="Z134">
        <f t="shared" si="9"/>
        <v>91.666666666666671</v>
      </c>
      <c r="AA134">
        <f t="shared" ref="AA134:AA197" si="11">$AA$3/($AA$4+W134^$AA$5)</f>
        <v>2.0405323161141635</v>
      </c>
      <c r="AB134">
        <f t="shared" ref="AB134:AB197" si="12">(E134-AA134)^2</f>
        <v>398.38035022408303</v>
      </c>
      <c r="AC134">
        <f t="shared" ref="AC134:AC197" si="13">W134/O134</f>
        <v>0.3973214285714286</v>
      </c>
      <c r="AD134">
        <f t="shared" ref="AD134:AD197" si="14">W134*(1+N134/100)-O134</f>
        <v>2.8000000000002245E-2</v>
      </c>
    </row>
    <row r="135" spans="1:33">
      <c r="A135" s="4">
        <v>161</v>
      </c>
      <c r="B135" s="4" t="s">
        <v>1430</v>
      </c>
      <c r="C135" s="4">
        <v>60</v>
      </c>
      <c r="D135" s="4">
        <v>32</v>
      </c>
      <c r="E135" s="4">
        <v>28</v>
      </c>
      <c r="F135" s="4" t="s">
        <v>1519</v>
      </c>
      <c r="G135" s="4" t="s">
        <v>1527</v>
      </c>
      <c r="H135" s="4">
        <v>4.8</v>
      </c>
      <c r="I135" s="4">
        <v>55.5</v>
      </c>
      <c r="J135" s="4">
        <v>60.3</v>
      </c>
      <c r="K135" s="4">
        <v>29</v>
      </c>
      <c r="L135" s="4">
        <v>26</v>
      </c>
      <c r="M135" s="4">
        <v>127</v>
      </c>
      <c r="N135" s="4">
        <v>134</v>
      </c>
      <c r="O135" s="4">
        <v>15.9</v>
      </c>
      <c r="P135" s="4">
        <v>36700</v>
      </c>
      <c r="Q135" s="4">
        <v>1.46</v>
      </c>
      <c r="R135" s="4">
        <v>5.4</v>
      </c>
      <c r="S135" s="4">
        <v>86</v>
      </c>
      <c r="T135" s="4">
        <v>17.399999999999999</v>
      </c>
      <c r="U135" s="4">
        <v>408</v>
      </c>
      <c r="V135" s="4">
        <v>7.1</v>
      </c>
      <c r="W135" s="4">
        <v>6.8</v>
      </c>
      <c r="X135" s="4">
        <v>910</v>
      </c>
      <c r="Y135" s="4">
        <v>1</v>
      </c>
      <c r="Z135">
        <f t="shared" ref="Z135:Z198" si="15">E135*100/D135</f>
        <v>87.5</v>
      </c>
      <c r="AA135">
        <f t="shared" si="11"/>
        <v>2.2416047697699955</v>
      </c>
      <c r="AB135">
        <f t="shared" si="12"/>
        <v>663.49492483673578</v>
      </c>
      <c r="AC135">
        <f t="shared" si="13"/>
        <v>0.42767295597484273</v>
      </c>
      <c r="AD135">
        <f t="shared" si="14"/>
        <v>1.1999999999998678E-2</v>
      </c>
    </row>
    <row r="136" spans="1:33">
      <c r="A136" s="4">
        <v>172</v>
      </c>
      <c r="B136" s="7"/>
      <c r="C136" s="4">
        <v>70</v>
      </c>
      <c r="D136" s="4">
        <v>37</v>
      </c>
      <c r="E136" s="4">
        <v>27</v>
      </c>
      <c r="F136" s="4" t="s">
        <v>1519</v>
      </c>
      <c r="G136" s="4" t="s">
        <v>1527</v>
      </c>
      <c r="H136" s="4">
        <v>4.3</v>
      </c>
      <c r="I136" s="4">
        <v>160.1</v>
      </c>
      <c r="J136" s="4">
        <v>164.4</v>
      </c>
      <c r="K136" s="4">
        <v>26</v>
      </c>
      <c r="L136" s="4">
        <v>25</v>
      </c>
      <c r="M136" s="4">
        <v>134</v>
      </c>
      <c r="N136" s="4">
        <v>139</v>
      </c>
      <c r="O136" s="4">
        <v>41.5</v>
      </c>
      <c r="P136" s="4">
        <v>51400</v>
      </c>
      <c r="Q136" s="4">
        <v>1.17</v>
      </c>
      <c r="R136" s="4">
        <v>6</v>
      </c>
      <c r="S136" s="4">
        <v>249</v>
      </c>
      <c r="T136" s="4">
        <v>29.7</v>
      </c>
      <c r="U136" s="4">
        <v>403</v>
      </c>
      <c r="V136" s="4">
        <v>12</v>
      </c>
      <c r="W136" s="4">
        <v>17.399999999999999</v>
      </c>
      <c r="X136" s="4">
        <v>1400</v>
      </c>
      <c r="Y136" s="4">
        <v>0.7</v>
      </c>
      <c r="Z136">
        <f t="shared" si="15"/>
        <v>72.972972972972968</v>
      </c>
      <c r="AA136">
        <f t="shared" si="11"/>
        <v>1.5166889211511818</v>
      </c>
      <c r="AB136">
        <f t="shared" si="12"/>
        <v>649.39914354137886</v>
      </c>
      <c r="AC136">
        <f t="shared" si="13"/>
        <v>0.41927710843373489</v>
      </c>
      <c r="AD136">
        <f t="shared" si="14"/>
        <v>8.5999999999991417E-2</v>
      </c>
    </row>
    <row r="137" spans="1:33">
      <c r="A137" s="4">
        <v>201</v>
      </c>
      <c r="B137" s="7"/>
      <c r="C137" s="4">
        <v>86</v>
      </c>
      <c r="D137" s="4">
        <v>43</v>
      </c>
      <c r="E137" s="4">
        <v>33</v>
      </c>
      <c r="F137" s="4" t="s">
        <v>1519</v>
      </c>
      <c r="G137" s="4" t="s">
        <v>1527</v>
      </c>
      <c r="H137" s="4">
        <v>4.7</v>
      </c>
      <c r="I137" s="4">
        <v>182.9</v>
      </c>
      <c r="J137" s="4">
        <v>187.6</v>
      </c>
      <c r="K137" s="4">
        <v>21</v>
      </c>
      <c r="L137" s="4">
        <v>21</v>
      </c>
      <c r="M137" s="4">
        <v>124</v>
      </c>
      <c r="N137" s="4">
        <v>133</v>
      </c>
      <c r="O137" s="4">
        <v>38.9</v>
      </c>
      <c r="P137" s="4">
        <v>28800</v>
      </c>
      <c r="Q137" s="4">
        <v>1.56</v>
      </c>
      <c r="R137" s="4">
        <v>4.5</v>
      </c>
      <c r="S137" s="4">
        <v>175</v>
      </c>
      <c r="T137" s="4">
        <v>38.299999999999997</v>
      </c>
      <c r="U137" s="4">
        <v>423</v>
      </c>
      <c r="V137" s="4">
        <v>16.2</v>
      </c>
      <c r="W137" s="4">
        <v>16.7</v>
      </c>
      <c r="X137" s="4">
        <v>1020</v>
      </c>
      <c r="Y137" s="4">
        <v>1</v>
      </c>
      <c r="Z137">
        <f t="shared" si="15"/>
        <v>76.744186046511629</v>
      </c>
      <c r="AA137">
        <f t="shared" si="11"/>
        <v>1.5485248941941137</v>
      </c>
      <c r="AB137">
        <f t="shared" si="12"/>
        <v>989.19528633112748</v>
      </c>
      <c r="AC137">
        <f t="shared" si="13"/>
        <v>0.42930591259640105</v>
      </c>
      <c r="AD137">
        <f t="shared" si="14"/>
        <v>1.1000000000002785E-2</v>
      </c>
    </row>
    <row r="138" spans="1:33">
      <c r="A138" s="4">
        <v>8</v>
      </c>
      <c r="B138" s="4" t="s">
        <v>1338</v>
      </c>
      <c r="C138" s="4">
        <v>20</v>
      </c>
      <c r="D138" s="4">
        <v>6</v>
      </c>
      <c r="E138" s="4">
        <v>7.1</v>
      </c>
      <c r="F138" s="4" t="s">
        <v>1469</v>
      </c>
      <c r="G138" s="4" t="s">
        <v>1529</v>
      </c>
      <c r="H138" s="4">
        <v>8.6999999999999993</v>
      </c>
      <c r="I138" s="4">
        <v>3.18</v>
      </c>
      <c r="J138" s="4">
        <v>11.88</v>
      </c>
      <c r="K138" s="4">
        <v>49</v>
      </c>
      <c r="L138" s="4">
        <v>13</v>
      </c>
      <c r="M138" s="4">
        <v>161</v>
      </c>
      <c r="N138" s="4">
        <v>160</v>
      </c>
      <c r="O138" s="4">
        <v>1.56</v>
      </c>
      <c r="P138" s="4">
        <v>32000</v>
      </c>
      <c r="Q138" s="4">
        <v>1.73</v>
      </c>
      <c r="R138" s="4">
        <v>5.5</v>
      </c>
      <c r="S138" s="4">
        <v>9</v>
      </c>
      <c r="T138" s="4">
        <v>1.4</v>
      </c>
      <c r="U138" s="4">
        <v>343</v>
      </c>
      <c r="V138" s="4">
        <v>0.5</v>
      </c>
      <c r="W138" s="4">
        <v>0.6</v>
      </c>
      <c r="X138" s="4">
        <v>1110</v>
      </c>
      <c r="Y138" s="4">
        <v>0.8</v>
      </c>
      <c r="Z138">
        <f t="shared" si="15"/>
        <v>118.33333333333333</v>
      </c>
      <c r="AA138">
        <f t="shared" si="11"/>
        <v>3.2921204167561968</v>
      </c>
      <c r="AB138">
        <f t="shared" si="12"/>
        <v>14.499946920484998</v>
      </c>
      <c r="AC138">
        <f t="shared" si="13"/>
        <v>0.38461538461538458</v>
      </c>
      <c r="AD138">
        <f t="shared" si="14"/>
        <v>0</v>
      </c>
      <c r="AF138">
        <v>4</v>
      </c>
      <c r="AG138">
        <f>$AA$3*AF138/($AA$4+AF138^$AA$5)</f>
        <v>10.384060212932349</v>
      </c>
    </row>
    <row r="139" spans="1:33">
      <c r="A139" s="4">
        <v>9</v>
      </c>
      <c r="B139" s="4" t="s">
        <v>1339</v>
      </c>
      <c r="C139" s="4">
        <v>20</v>
      </c>
      <c r="D139" s="4">
        <v>6.4</v>
      </c>
      <c r="E139" s="4">
        <v>8.1</v>
      </c>
      <c r="F139" s="4" t="s">
        <v>1469</v>
      </c>
      <c r="G139" s="4" t="s">
        <v>1529</v>
      </c>
      <c r="H139" s="4">
        <v>12.9</v>
      </c>
      <c r="I139" s="4">
        <v>4.32</v>
      </c>
      <c r="J139" s="4">
        <v>17.22</v>
      </c>
      <c r="K139" s="4">
        <v>36</v>
      </c>
      <c r="L139" s="9">
        <v>9</v>
      </c>
      <c r="M139" s="4">
        <v>176</v>
      </c>
      <c r="N139" s="4">
        <v>159</v>
      </c>
      <c r="O139" s="4">
        <v>1.55</v>
      </c>
      <c r="P139" s="4">
        <v>38900</v>
      </c>
      <c r="Q139" s="4">
        <v>1.53</v>
      </c>
      <c r="R139" s="4">
        <v>6</v>
      </c>
      <c r="S139" s="4">
        <v>9</v>
      </c>
      <c r="T139" s="4">
        <v>1.9</v>
      </c>
      <c r="U139" s="4">
        <v>353</v>
      </c>
      <c r="V139" s="4">
        <v>0.7</v>
      </c>
      <c r="W139" s="4">
        <v>0.6</v>
      </c>
      <c r="X139" s="4">
        <v>820</v>
      </c>
      <c r="Y139" s="4">
        <v>1.2</v>
      </c>
      <c r="Z139">
        <f t="shared" si="15"/>
        <v>126.5625</v>
      </c>
      <c r="AA139">
        <f t="shared" si="11"/>
        <v>3.2921204167561968</v>
      </c>
      <c r="AB139">
        <f t="shared" si="12"/>
        <v>23.115706086972608</v>
      </c>
      <c r="AC139">
        <f t="shared" si="13"/>
        <v>0.38709677419354838</v>
      </c>
      <c r="AD139">
        <f t="shared" si="14"/>
        <v>3.9999999999997815E-3</v>
      </c>
      <c r="AF139">
        <v>5</v>
      </c>
      <c r="AG139">
        <f>$AA$3*AF139/($AA$4+AF139^$AA$5)</f>
        <v>12.27493071715474</v>
      </c>
    </row>
    <row r="140" spans="1:33">
      <c r="A140" s="4">
        <v>16</v>
      </c>
      <c r="B140" s="4" t="s">
        <v>1359</v>
      </c>
      <c r="C140" s="4">
        <v>20</v>
      </c>
      <c r="D140" s="4">
        <v>7.8</v>
      </c>
      <c r="E140" s="4">
        <v>7</v>
      </c>
      <c r="F140" s="4" t="s">
        <v>1469</v>
      </c>
      <c r="G140" s="4" t="s">
        <v>1529</v>
      </c>
      <c r="H140" s="4">
        <v>8.25</v>
      </c>
      <c r="I140" s="4">
        <v>8.43</v>
      </c>
      <c r="J140" s="4">
        <v>16.68</v>
      </c>
      <c r="K140" s="4">
        <v>51</v>
      </c>
      <c r="L140" s="4">
        <v>26</v>
      </c>
      <c r="M140" s="4">
        <v>169</v>
      </c>
      <c r="N140" s="4">
        <v>149</v>
      </c>
      <c r="O140" s="4">
        <v>4.26</v>
      </c>
      <c r="P140" s="4">
        <v>31000</v>
      </c>
      <c r="Q140" s="4">
        <v>1.88</v>
      </c>
      <c r="R140" s="4">
        <v>5.8</v>
      </c>
      <c r="S140" s="4">
        <v>25</v>
      </c>
      <c r="T140" s="4">
        <v>2.5</v>
      </c>
      <c r="U140" s="4">
        <v>366</v>
      </c>
      <c r="V140" s="4">
        <v>0.9</v>
      </c>
      <c r="W140" s="4">
        <v>1.67</v>
      </c>
      <c r="X140" s="4">
        <v>1700</v>
      </c>
      <c r="Y140" s="4">
        <v>0.5</v>
      </c>
      <c r="Z140">
        <f t="shared" si="15"/>
        <v>89.743589743589752</v>
      </c>
      <c r="AA140">
        <f t="shared" si="11"/>
        <v>3.0207523937480376</v>
      </c>
      <c r="AB140">
        <f t="shared" si="12"/>
        <v>15.834411511861973</v>
      </c>
      <c r="AC140">
        <f t="shared" si="13"/>
        <v>0.392018779342723</v>
      </c>
      <c r="AD140">
        <f t="shared" si="14"/>
        <v>-0.10169999999999924</v>
      </c>
      <c r="AF140">
        <v>12</v>
      </c>
      <c r="AG140">
        <f>$AA$3*AF140/($AA$4+AF140^$AA$5)</f>
        <v>21.694522249255577</v>
      </c>
    </row>
    <row r="141" spans="1:33">
      <c r="A141" s="4">
        <v>23</v>
      </c>
      <c r="B141" s="4" t="s">
        <v>1363</v>
      </c>
      <c r="C141" s="4">
        <v>20</v>
      </c>
      <c r="D141" s="4">
        <v>9.1</v>
      </c>
      <c r="E141" s="4">
        <v>7</v>
      </c>
      <c r="F141" s="4" t="s">
        <v>1469</v>
      </c>
      <c r="G141" s="4" t="s">
        <v>1529</v>
      </c>
      <c r="H141" s="4">
        <v>8</v>
      </c>
      <c r="I141" s="4">
        <v>16.600000000000001</v>
      </c>
      <c r="J141" s="4">
        <v>24.6</v>
      </c>
      <c r="K141" s="4">
        <v>41</v>
      </c>
      <c r="L141" s="4">
        <v>28</v>
      </c>
      <c r="M141" s="4">
        <v>179</v>
      </c>
      <c r="N141" s="4">
        <v>168</v>
      </c>
      <c r="O141" s="4">
        <v>6.8</v>
      </c>
      <c r="P141" s="4">
        <v>28900</v>
      </c>
      <c r="Q141" s="4">
        <v>1.8</v>
      </c>
      <c r="R141" s="4">
        <v>5.2</v>
      </c>
      <c r="S141" s="4">
        <v>35</v>
      </c>
      <c r="T141" s="4">
        <v>2.8</v>
      </c>
      <c r="U141" s="4">
        <v>361</v>
      </c>
      <c r="V141" s="4">
        <v>1</v>
      </c>
      <c r="W141" s="4">
        <v>2.54</v>
      </c>
      <c r="X141" s="4">
        <v>2430</v>
      </c>
      <c r="Y141" s="4">
        <v>0.4</v>
      </c>
      <c r="Z141">
        <f t="shared" si="15"/>
        <v>76.92307692307692</v>
      </c>
      <c r="AA141">
        <f t="shared" si="11"/>
        <v>2.8423093243255071</v>
      </c>
      <c r="AB141">
        <f t="shared" si="12"/>
        <v>17.286391754590621</v>
      </c>
      <c r="AC141">
        <f t="shared" si="13"/>
        <v>0.37352941176470589</v>
      </c>
      <c r="AD141">
        <f t="shared" si="14"/>
        <v>7.199999999999207E-3</v>
      </c>
      <c r="AF141">
        <v>19</v>
      </c>
      <c r="AG141">
        <f>$AA$3*AF141/($AA$4+AF141^$AA$5)</f>
        <v>27.531707078932467</v>
      </c>
    </row>
    <row r="142" spans="1:33">
      <c r="A142" s="4">
        <v>28</v>
      </c>
      <c r="B142" s="4" t="s">
        <v>1365</v>
      </c>
      <c r="C142" s="4">
        <v>20</v>
      </c>
      <c r="D142" s="4">
        <v>8.6999999999999993</v>
      </c>
      <c r="E142" s="4">
        <v>7.7</v>
      </c>
      <c r="F142" s="4" t="s">
        <v>1469</v>
      </c>
      <c r="G142" s="4" t="s">
        <v>1529</v>
      </c>
      <c r="H142" s="4">
        <v>7</v>
      </c>
      <c r="I142" s="4">
        <v>13.84</v>
      </c>
      <c r="J142" s="4">
        <v>20.84</v>
      </c>
      <c r="K142" s="4">
        <v>43</v>
      </c>
      <c r="L142" s="4">
        <v>29</v>
      </c>
      <c r="M142" s="4">
        <v>182</v>
      </c>
      <c r="N142" s="4">
        <v>157</v>
      </c>
      <c r="O142" s="4">
        <v>5.96</v>
      </c>
      <c r="P142" s="4">
        <v>40500</v>
      </c>
      <c r="Q142" s="4">
        <v>1.2</v>
      </c>
      <c r="R142" s="4">
        <v>4.9000000000000004</v>
      </c>
      <c r="S142" s="4">
        <v>29</v>
      </c>
      <c r="T142" s="4">
        <v>3.4</v>
      </c>
      <c r="U142" s="4">
        <v>357</v>
      </c>
      <c r="V142" s="4">
        <v>1.2</v>
      </c>
      <c r="W142" s="4">
        <v>2.3199999999999998</v>
      </c>
      <c r="X142" s="4">
        <v>1750</v>
      </c>
      <c r="Y142" s="4">
        <v>0.5</v>
      </c>
      <c r="Z142">
        <f t="shared" si="15"/>
        <v>88.505747126436788</v>
      </c>
      <c r="AA142">
        <f t="shared" si="11"/>
        <v>2.8847549670481487</v>
      </c>
      <c r="AB142">
        <f t="shared" si="12"/>
        <v>23.186584727367482</v>
      </c>
      <c r="AC142">
        <f t="shared" si="13"/>
        <v>0.38926174496644295</v>
      </c>
      <c r="AD142">
        <f t="shared" si="14"/>
        <v>2.4000000000006239E-3</v>
      </c>
      <c r="AF142">
        <v>24</v>
      </c>
      <c r="AG142">
        <f>$AA$3*AF142/($AA$4+AF142^$AA$5)</f>
        <v>30.583416077215237</v>
      </c>
    </row>
    <row r="143" spans="1:33">
      <c r="A143" s="4">
        <v>45</v>
      </c>
      <c r="B143" s="4" t="s">
        <v>1376</v>
      </c>
      <c r="C143" s="4">
        <v>20</v>
      </c>
      <c r="D143" s="4">
        <v>9.1</v>
      </c>
      <c r="E143" s="4">
        <v>7.6</v>
      </c>
      <c r="F143" s="4" t="s">
        <v>1469</v>
      </c>
      <c r="G143" s="4" t="s">
        <v>1529</v>
      </c>
      <c r="H143" s="4">
        <v>6.95</v>
      </c>
      <c r="I143" s="4">
        <v>12.76</v>
      </c>
      <c r="J143" s="4">
        <v>19.71</v>
      </c>
      <c r="K143" s="4">
        <v>38</v>
      </c>
      <c r="L143" s="4">
        <v>25</v>
      </c>
      <c r="M143" s="4">
        <v>184</v>
      </c>
      <c r="N143" s="4">
        <v>161</v>
      </c>
      <c r="O143" s="4">
        <v>4.8899999999999997</v>
      </c>
      <c r="P143" s="4">
        <v>30900</v>
      </c>
      <c r="Q143" s="4">
        <v>1.84</v>
      </c>
      <c r="R143" s="4">
        <v>5.7</v>
      </c>
      <c r="S143" s="4">
        <v>28</v>
      </c>
      <c r="T143" s="4">
        <v>3.5</v>
      </c>
      <c r="U143" s="4">
        <v>324</v>
      </c>
      <c r="V143" s="4">
        <v>1.1000000000000001</v>
      </c>
      <c r="W143" s="4">
        <v>1.8</v>
      </c>
      <c r="X143" s="4">
        <v>1400</v>
      </c>
      <c r="Y143" s="4">
        <v>0.6</v>
      </c>
      <c r="Z143">
        <f t="shared" si="15"/>
        <v>83.516483516483518</v>
      </c>
      <c r="AA143">
        <f t="shared" si="11"/>
        <v>2.9921568386222015</v>
      </c>
      <c r="AB143">
        <f t="shared" si="12"/>
        <v>21.232218599856139</v>
      </c>
      <c r="AC143">
        <f t="shared" si="13"/>
        <v>0.36809815950920249</v>
      </c>
      <c r="AD143">
        <f t="shared" si="14"/>
        <v>-0.19199999999999928</v>
      </c>
    </row>
    <row r="144" spans="1:33">
      <c r="A144" s="4">
        <v>49</v>
      </c>
      <c r="B144" s="4" t="s">
        <v>1360</v>
      </c>
      <c r="C144" s="4">
        <v>20</v>
      </c>
      <c r="D144" s="4">
        <v>8.8000000000000007</v>
      </c>
      <c r="E144" s="4">
        <v>7.4</v>
      </c>
      <c r="F144" s="4" t="s">
        <v>1469</v>
      </c>
      <c r="G144" s="4" t="s">
        <v>1529</v>
      </c>
      <c r="H144" s="4">
        <v>7.6</v>
      </c>
      <c r="I144" s="4">
        <v>14.32</v>
      </c>
      <c r="J144" s="4">
        <v>21.92</v>
      </c>
      <c r="K144" s="4">
        <v>43</v>
      </c>
      <c r="L144" s="4">
        <v>28</v>
      </c>
      <c r="M144" s="4">
        <v>185</v>
      </c>
      <c r="N144" s="4">
        <v>165</v>
      </c>
      <c r="O144" s="4">
        <v>6.2</v>
      </c>
      <c r="P144" s="4">
        <v>31800</v>
      </c>
      <c r="Q144" s="4">
        <v>1.53</v>
      </c>
      <c r="R144" s="4">
        <v>4.9000000000000004</v>
      </c>
      <c r="S144" s="4">
        <v>30</v>
      </c>
      <c r="T144" s="4">
        <v>3.5</v>
      </c>
      <c r="U144" s="4">
        <v>369</v>
      </c>
      <c r="V144" s="4">
        <v>1.3</v>
      </c>
      <c r="W144" s="4">
        <v>2.34</v>
      </c>
      <c r="X144" s="4">
        <v>1770</v>
      </c>
      <c r="Y144" s="4">
        <v>0.6</v>
      </c>
      <c r="Z144">
        <f t="shared" si="15"/>
        <v>84.090909090909079</v>
      </c>
      <c r="AA144">
        <f t="shared" si="11"/>
        <v>2.8808276566916242</v>
      </c>
      <c r="AB144">
        <f t="shared" si="12"/>
        <v>20.422918668523323</v>
      </c>
      <c r="AC144">
        <f t="shared" si="13"/>
        <v>0.37741935483870964</v>
      </c>
      <c r="AD144">
        <f t="shared" si="14"/>
        <v>9.9999999999944578E-4</v>
      </c>
    </row>
    <row r="145" spans="1:33">
      <c r="A145" s="4">
        <v>50</v>
      </c>
      <c r="B145" s="4" t="s">
        <v>1360</v>
      </c>
      <c r="C145" s="4">
        <v>20</v>
      </c>
      <c r="D145" s="4">
        <v>9.4</v>
      </c>
      <c r="E145" s="4">
        <v>7.5</v>
      </c>
      <c r="F145" s="4" t="s">
        <v>1469</v>
      </c>
      <c r="G145" s="4" t="s">
        <v>1529</v>
      </c>
      <c r="H145" s="4">
        <v>7.6</v>
      </c>
      <c r="I145" s="4">
        <v>12.26</v>
      </c>
      <c r="J145" s="4">
        <v>19.86</v>
      </c>
      <c r="K145" s="4">
        <v>48</v>
      </c>
      <c r="L145" s="4">
        <v>30</v>
      </c>
      <c r="M145" s="4">
        <v>175</v>
      </c>
      <c r="N145" s="4">
        <v>169</v>
      </c>
      <c r="O145" s="4">
        <v>5.92</v>
      </c>
      <c r="P145" s="4">
        <v>35300</v>
      </c>
      <c r="Q145" s="4">
        <v>1.47</v>
      </c>
      <c r="R145" s="4">
        <v>5.2</v>
      </c>
      <c r="S145" s="4">
        <v>31</v>
      </c>
      <c r="T145" s="4">
        <v>3.1</v>
      </c>
      <c r="U145" s="4">
        <v>370</v>
      </c>
      <c r="V145" s="4">
        <v>1.1000000000000001</v>
      </c>
      <c r="W145" s="4">
        <v>2.2000000000000002</v>
      </c>
      <c r="X145" s="4">
        <v>1910</v>
      </c>
      <c r="Y145" s="4">
        <v>0.5</v>
      </c>
      <c r="Z145">
        <f t="shared" si="15"/>
        <v>79.787234042553195</v>
      </c>
      <c r="AA145">
        <f t="shared" si="11"/>
        <v>2.9086191333511331</v>
      </c>
      <c r="AB145">
        <f t="shared" si="12"/>
        <v>21.080778262629305</v>
      </c>
      <c r="AC145">
        <f t="shared" si="13"/>
        <v>0.37162162162162166</v>
      </c>
      <c r="AD145">
        <f t="shared" si="14"/>
        <v>-1.9999999999997797E-3</v>
      </c>
    </row>
    <row r="146" spans="1:33">
      <c r="A146" s="4">
        <v>54</v>
      </c>
      <c r="B146" s="4" t="s">
        <v>1379</v>
      </c>
      <c r="C146" s="4">
        <v>21</v>
      </c>
      <c r="D146" s="4">
        <v>5.2</v>
      </c>
      <c r="E146" s="4">
        <v>6.6</v>
      </c>
      <c r="F146" s="4" t="s">
        <v>1469</v>
      </c>
      <c r="G146" s="4" t="s">
        <v>1529</v>
      </c>
      <c r="H146" s="4">
        <v>10.6</v>
      </c>
      <c r="I146" s="4">
        <v>3.6</v>
      </c>
      <c r="J146" s="4">
        <v>14.2</v>
      </c>
      <c r="K146" s="4">
        <v>55</v>
      </c>
      <c r="L146" s="4">
        <v>14</v>
      </c>
      <c r="M146" s="4">
        <v>164</v>
      </c>
      <c r="N146" s="4">
        <v>177</v>
      </c>
      <c r="O146" s="4">
        <v>1.97</v>
      </c>
      <c r="P146" s="4">
        <v>28800</v>
      </c>
      <c r="Q146" s="4">
        <v>1.87</v>
      </c>
      <c r="R146" s="4">
        <v>5.4</v>
      </c>
      <c r="S146" s="4">
        <v>11</v>
      </c>
      <c r="T146" s="4">
        <v>1.3</v>
      </c>
      <c r="U146" s="4">
        <v>390</v>
      </c>
      <c r="V146" s="4">
        <v>0.5</v>
      </c>
      <c r="W146" s="4">
        <v>0.71</v>
      </c>
      <c r="X146" s="4">
        <v>1520</v>
      </c>
      <c r="Y146" s="4">
        <v>0.7</v>
      </c>
      <c r="Z146">
        <f t="shared" si="15"/>
        <v>126.92307692307692</v>
      </c>
      <c r="AA146">
        <f t="shared" si="11"/>
        <v>3.2604428662612017</v>
      </c>
      <c r="AB146">
        <f t="shared" si="12"/>
        <v>11.152641849505695</v>
      </c>
      <c r="AC146">
        <f t="shared" si="13"/>
        <v>0.36040609137055835</v>
      </c>
      <c r="AD146">
        <f t="shared" si="14"/>
        <v>-3.3000000000000806E-3</v>
      </c>
    </row>
    <row r="147" spans="1:33">
      <c r="A147" s="4">
        <v>62</v>
      </c>
      <c r="B147" s="4" t="s">
        <v>1383</v>
      </c>
      <c r="C147" s="4">
        <v>21</v>
      </c>
      <c r="D147" s="4">
        <v>9.4</v>
      </c>
      <c r="E147" s="4">
        <v>8.6</v>
      </c>
      <c r="F147" s="4" t="s">
        <v>1469</v>
      </c>
      <c r="G147" s="4" t="s">
        <v>1529</v>
      </c>
      <c r="H147" s="4">
        <v>8.75</v>
      </c>
      <c r="I147" s="4">
        <v>18.7</v>
      </c>
      <c r="J147" s="4">
        <v>27.45</v>
      </c>
      <c r="K147" s="4">
        <v>37</v>
      </c>
      <c r="L147" s="4">
        <v>25</v>
      </c>
      <c r="M147" s="4">
        <v>184</v>
      </c>
      <c r="N147" s="4">
        <v>188</v>
      </c>
      <c r="O147" s="4">
        <v>6.99</v>
      </c>
      <c r="P147" s="4">
        <v>44300</v>
      </c>
      <c r="Q147" s="4">
        <v>1.21</v>
      </c>
      <c r="R147" s="4">
        <v>5.4</v>
      </c>
      <c r="S147" s="4">
        <v>38</v>
      </c>
      <c r="T147" s="4">
        <v>3.9</v>
      </c>
      <c r="U147" s="4">
        <v>346</v>
      </c>
      <c r="V147" s="4">
        <v>1.3</v>
      </c>
      <c r="W147" s="4">
        <v>2.4300000000000002</v>
      </c>
      <c r="X147" s="4">
        <v>1790</v>
      </c>
      <c r="Y147" s="4">
        <v>0.5</v>
      </c>
      <c r="Z147">
        <f t="shared" si="15"/>
        <v>91.489361702127653</v>
      </c>
      <c r="AA147">
        <f t="shared" si="11"/>
        <v>2.8633268056732901</v>
      </c>
      <c r="AB147">
        <f t="shared" si="12"/>
        <v>32.909419338506609</v>
      </c>
      <c r="AC147">
        <f t="shared" si="13"/>
        <v>0.3476394849785408</v>
      </c>
      <c r="AD147">
        <f t="shared" si="14"/>
        <v>8.3999999999999631E-3</v>
      </c>
    </row>
    <row r="148" spans="1:33">
      <c r="A148" s="4">
        <v>77</v>
      </c>
      <c r="B148" s="6" t="s">
        <v>1377</v>
      </c>
      <c r="C148" s="4">
        <v>25</v>
      </c>
      <c r="D148" s="4">
        <v>8.6</v>
      </c>
      <c r="E148" s="4">
        <v>9</v>
      </c>
      <c r="F148" s="4" t="s">
        <v>1469</v>
      </c>
      <c r="G148" s="4" t="s">
        <v>1529</v>
      </c>
      <c r="H148" s="4">
        <v>8.17</v>
      </c>
      <c r="I148" s="4">
        <v>8.3699999999999992</v>
      </c>
      <c r="J148" s="4">
        <v>16.54</v>
      </c>
      <c r="K148" s="4">
        <v>39</v>
      </c>
      <c r="L148" s="4">
        <v>20</v>
      </c>
      <c r="M148" s="4">
        <v>152</v>
      </c>
      <c r="N148" s="4">
        <v>123</v>
      </c>
      <c r="O148" s="4">
        <v>3.24</v>
      </c>
      <c r="P148" s="4">
        <v>60800</v>
      </c>
      <c r="Q148" s="4">
        <v>1.04</v>
      </c>
      <c r="R148" s="4">
        <v>6.3</v>
      </c>
      <c r="S148" s="4">
        <v>20</v>
      </c>
      <c r="T148" s="4">
        <v>1.9</v>
      </c>
      <c r="U148" s="4">
        <v>369</v>
      </c>
      <c r="V148" s="4">
        <v>0.7</v>
      </c>
      <c r="W148" s="4">
        <v>1.45</v>
      </c>
      <c r="X148" s="4">
        <v>1710</v>
      </c>
      <c r="Y148" s="4">
        <v>0.5</v>
      </c>
      <c r="Z148">
        <f t="shared" si="15"/>
        <v>104.65116279069768</v>
      </c>
      <c r="AA148">
        <f t="shared" si="11"/>
        <v>3.0709534315567977</v>
      </c>
      <c r="AB148">
        <f t="shared" si="12"/>
        <v>35.153593210768115</v>
      </c>
      <c r="AC148">
        <f t="shared" si="13"/>
        <v>0.4475308641975308</v>
      </c>
      <c r="AD148">
        <f t="shared" si="14"/>
        <v>-6.5000000000003944E-3</v>
      </c>
    </row>
    <row r="149" spans="1:33">
      <c r="A149" s="4">
        <v>89</v>
      </c>
      <c r="B149" s="4" t="s">
        <v>1394</v>
      </c>
      <c r="C149" s="4">
        <v>28</v>
      </c>
      <c r="D149" s="4">
        <v>10</v>
      </c>
      <c r="E149" s="4">
        <v>11.2</v>
      </c>
      <c r="F149" s="4" t="s">
        <v>1469</v>
      </c>
      <c r="G149" s="4" t="s">
        <v>1529</v>
      </c>
      <c r="H149" s="4">
        <v>7.7</v>
      </c>
      <c r="I149" s="4">
        <v>8.25</v>
      </c>
      <c r="J149" s="4">
        <v>15.95</v>
      </c>
      <c r="K149" s="4">
        <v>32</v>
      </c>
      <c r="L149" s="4">
        <v>17</v>
      </c>
      <c r="M149" s="4">
        <v>156</v>
      </c>
      <c r="N149" s="4">
        <v>159</v>
      </c>
      <c r="O149" s="4">
        <v>2.67</v>
      </c>
      <c r="P149" s="4">
        <v>44400</v>
      </c>
      <c r="Q149" s="4">
        <v>1.42</v>
      </c>
      <c r="R149" s="4">
        <v>6.3</v>
      </c>
      <c r="S149" s="4">
        <v>17</v>
      </c>
      <c r="T149" s="4">
        <v>2.9</v>
      </c>
      <c r="U149" s="4">
        <v>402</v>
      </c>
      <c r="V149" s="4">
        <v>1.2</v>
      </c>
      <c r="W149" s="4">
        <v>1.03</v>
      </c>
      <c r="X149" s="4">
        <v>920</v>
      </c>
      <c r="Y149" s="4">
        <v>1.2</v>
      </c>
      <c r="Z149">
        <f t="shared" si="15"/>
        <v>112</v>
      </c>
      <c r="AA149">
        <f t="shared" si="11"/>
        <v>3.1740389186911195</v>
      </c>
      <c r="AB149">
        <f t="shared" si="12"/>
        <v>64.416051278684805</v>
      </c>
      <c r="AC149">
        <f t="shared" si="13"/>
        <v>0.38576779026217228</v>
      </c>
      <c r="AD149">
        <f t="shared" si="14"/>
        <v>-2.2999999999999687E-3</v>
      </c>
    </row>
    <row r="150" spans="1:33">
      <c r="A150" s="4">
        <v>91</v>
      </c>
      <c r="B150" s="4" t="s">
        <v>1395</v>
      </c>
      <c r="C150" s="4">
        <v>28</v>
      </c>
      <c r="D150" s="4">
        <v>12.4</v>
      </c>
      <c r="E150" s="4">
        <v>13.6</v>
      </c>
      <c r="F150" s="4" t="s">
        <v>1469</v>
      </c>
      <c r="G150" s="4" t="s">
        <v>1529</v>
      </c>
      <c r="H150" s="4">
        <v>8</v>
      </c>
      <c r="I150" s="4">
        <v>14.71</v>
      </c>
      <c r="J150" s="4">
        <v>22.71</v>
      </c>
      <c r="K150" s="4">
        <v>27</v>
      </c>
      <c r="L150" s="4">
        <v>17</v>
      </c>
      <c r="M150" s="4">
        <v>156</v>
      </c>
      <c r="N150" s="4">
        <v>157</v>
      </c>
      <c r="O150" s="4">
        <v>3.91</v>
      </c>
      <c r="P150" s="4">
        <v>35100</v>
      </c>
      <c r="Q150" s="4">
        <v>1.59</v>
      </c>
      <c r="R150" s="4">
        <v>5.6</v>
      </c>
      <c r="S150" s="4">
        <v>22</v>
      </c>
      <c r="T150" s="4">
        <v>5.3</v>
      </c>
      <c r="U150" s="4">
        <v>393</v>
      </c>
      <c r="V150" s="4">
        <v>2.1</v>
      </c>
      <c r="W150" s="4">
        <v>1.52</v>
      </c>
      <c r="X150" s="4">
        <v>740</v>
      </c>
      <c r="Y150" s="4">
        <v>1.4</v>
      </c>
      <c r="Z150">
        <f t="shared" si="15"/>
        <v>109.6774193548387</v>
      </c>
      <c r="AA150">
        <f t="shared" si="11"/>
        <v>3.0547222832059262</v>
      </c>
      <c r="AB150">
        <f t="shared" si="12"/>
        <v>111.20288212431363</v>
      </c>
      <c r="AC150">
        <f t="shared" si="13"/>
        <v>0.38874680306905368</v>
      </c>
      <c r="AD150">
        <f t="shared" si="14"/>
        <v>-3.5999999999996035E-3</v>
      </c>
    </row>
    <row r="151" spans="1:33">
      <c r="A151" s="4">
        <v>117</v>
      </c>
      <c r="B151" s="4" t="s">
        <v>1360</v>
      </c>
      <c r="C151" s="4">
        <v>32</v>
      </c>
      <c r="D151" s="4">
        <v>10</v>
      </c>
      <c r="E151" s="4">
        <v>9</v>
      </c>
      <c r="F151" s="4" t="s">
        <v>1469</v>
      </c>
      <c r="G151" s="4" t="s">
        <v>1529</v>
      </c>
      <c r="H151" s="4">
        <v>5.6</v>
      </c>
      <c r="I151" s="4">
        <v>8.6999999999999993</v>
      </c>
      <c r="J151" s="4">
        <v>14.3</v>
      </c>
      <c r="K151" s="4">
        <v>46</v>
      </c>
      <c r="L151" s="4">
        <v>28</v>
      </c>
      <c r="M151" s="4">
        <v>174</v>
      </c>
      <c r="N151" s="4">
        <v>150</v>
      </c>
      <c r="O151" s="4">
        <v>4</v>
      </c>
      <c r="P151" s="4">
        <v>40000</v>
      </c>
      <c r="Q151" s="4">
        <v>1.39</v>
      </c>
      <c r="R151" s="4">
        <v>5.6</v>
      </c>
      <c r="S151" s="4">
        <v>22</v>
      </c>
      <c r="T151" s="4">
        <v>3.5</v>
      </c>
      <c r="U151" s="4">
        <v>379</v>
      </c>
      <c r="V151" s="4">
        <v>1.3</v>
      </c>
      <c r="W151" s="4">
        <v>1.6</v>
      </c>
      <c r="X151" s="4">
        <v>1140</v>
      </c>
      <c r="Y151" s="4">
        <v>0.8</v>
      </c>
      <c r="Z151">
        <f t="shared" si="15"/>
        <v>90</v>
      </c>
      <c r="AA151">
        <f t="shared" si="11"/>
        <v>3.0364708038842374</v>
      </c>
      <c r="AB151">
        <f t="shared" si="12"/>
        <v>35.563680472925121</v>
      </c>
      <c r="AC151">
        <f t="shared" si="13"/>
        <v>0.4</v>
      </c>
      <c r="AD151">
        <f t="shared" si="14"/>
        <v>0</v>
      </c>
    </row>
    <row r="152" spans="1:33">
      <c r="A152" s="4">
        <v>167</v>
      </c>
      <c r="B152" s="6" t="s">
        <v>1433</v>
      </c>
      <c r="C152" s="4">
        <v>65</v>
      </c>
      <c r="D152" s="4">
        <v>17</v>
      </c>
      <c r="E152" s="4">
        <v>17</v>
      </c>
      <c r="F152" s="4" t="s">
        <v>1469</v>
      </c>
      <c r="G152" s="4" t="s">
        <v>1529</v>
      </c>
      <c r="H152" s="4">
        <v>3.3</v>
      </c>
      <c r="I152" s="4">
        <v>13.2</v>
      </c>
      <c r="J152" s="4">
        <v>16.5</v>
      </c>
      <c r="K152" s="4">
        <v>27</v>
      </c>
      <c r="L152" s="4">
        <v>21</v>
      </c>
      <c r="M152" s="93" t="s">
        <v>1425</v>
      </c>
      <c r="N152" s="4">
        <v>133</v>
      </c>
      <c r="O152" s="4">
        <v>3.5</v>
      </c>
      <c r="P152" s="4">
        <v>41500</v>
      </c>
      <c r="Q152" s="4">
        <v>1.32</v>
      </c>
      <c r="R152" s="4">
        <v>5.5</v>
      </c>
      <c r="S152" s="4">
        <v>19</v>
      </c>
      <c r="T152" s="4">
        <v>3.7</v>
      </c>
      <c r="U152" s="4" t="s">
        <v>1425</v>
      </c>
      <c r="V152" s="4" t="s">
        <v>1425</v>
      </c>
      <c r="W152" s="4">
        <v>1.5</v>
      </c>
      <c r="X152" s="4">
        <v>950</v>
      </c>
      <c r="Y152" s="4" t="s">
        <v>1425</v>
      </c>
      <c r="Z152">
        <f t="shared" si="15"/>
        <v>100</v>
      </c>
      <c r="AA152">
        <f t="shared" si="11"/>
        <v>3.0593344585155675</v>
      </c>
      <c r="AB152">
        <f t="shared" si="12"/>
        <v>194.34215573953142</v>
      </c>
      <c r="AC152">
        <f t="shared" si="13"/>
        <v>0.42857142857142855</v>
      </c>
      <c r="AD152">
        <f t="shared" si="14"/>
        <v>-4.9999999999998934E-3</v>
      </c>
    </row>
    <row r="153" spans="1:33">
      <c r="A153" s="4">
        <v>179</v>
      </c>
      <c r="B153" s="4" t="s">
        <v>1440</v>
      </c>
      <c r="C153" s="4">
        <v>81</v>
      </c>
      <c r="D153" s="4">
        <v>27</v>
      </c>
      <c r="E153" s="4">
        <v>21</v>
      </c>
      <c r="F153" s="4" t="s">
        <v>1469</v>
      </c>
      <c r="G153" s="4" t="s">
        <v>1529</v>
      </c>
      <c r="H153" s="4">
        <v>4.5999999999999996</v>
      </c>
      <c r="I153" s="4">
        <v>49.8</v>
      </c>
      <c r="J153" s="4">
        <v>54.4</v>
      </c>
      <c r="K153" s="4">
        <v>25</v>
      </c>
      <c r="L153" s="4">
        <v>23</v>
      </c>
      <c r="M153" s="4">
        <v>137</v>
      </c>
      <c r="N153" s="4">
        <v>138</v>
      </c>
      <c r="O153" s="4">
        <v>12.4</v>
      </c>
      <c r="P153" s="4">
        <v>37600</v>
      </c>
      <c r="Q153" s="4">
        <v>1.5</v>
      </c>
      <c r="R153" s="4">
        <v>5.6</v>
      </c>
      <c r="S153" s="4">
        <v>69</v>
      </c>
      <c r="T153" s="4">
        <v>6</v>
      </c>
      <c r="U153" s="4">
        <v>488</v>
      </c>
      <c r="V153" s="4">
        <v>2.9</v>
      </c>
      <c r="W153" s="4">
        <v>5.2</v>
      </c>
      <c r="X153" s="4">
        <v>2070</v>
      </c>
      <c r="Y153" s="4">
        <v>0.6</v>
      </c>
      <c r="Z153">
        <f t="shared" si="15"/>
        <v>77.777777777777771</v>
      </c>
      <c r="AA153">
        <f t="shared" si="11"/>
        <v>2.4289297380690744</v>
      </c>
      <c r="AB153">
        <f t="shared" si="12"/>
        <v>344.88465067357527</v>
      </c>
      <c r="AC153">
        <f t="shared" si="13"/>
        <v>0.41935483870967744</v>
      </c>
      <c r="AD153">
        <f t="shared" si="14"/>
        <v>-2.4000000000000909E-2</v>
      </c>
    </row>
    <row r="154" spans="1:33">
      <c r="A154" s="4">
        <v>203</v>
      </c>
      <c r="B154" s="6" t="s">
        <v>1450</v>
      </c>
      <c r="C154" s="4">
        <v>101</v>
      </c>
      <c r="D154" s="4">
        <v>31</v>
      </c>
      <c r="E154" s="4">
        <v>32</v>
      </c>
      <c r="F154" s="4" t="s">
        <v>1469</v>
      </c>
      <c r="G154" s="4" t="s">
        <v>1529</v>
      </c>
      <c r="H154" s="4">
        <v>5.4</v>
      </c>
      <c r="I154" s="4">
        <v>52.4</v>
      </c>
      <c r="J154" s="4">
        <v>57.8</v>
      </c>
      <c r="K154" s="4">
        <v>26</v>
      </c>
      <c r="L154" s="4">
        <v>24</v>
      </c>
      <c r="M154" s="4">
        <v>131</v>
      </c>
      <c r="N154" s="4">
        <v>146</v>
      </c>
      <c r="O154" s="4">
        <v>13.8</v>
      </c>
      <c r="P154" s="4">
        <v>40400</v>
      </c>
      <c r="Q154" s="4">
        <v>1.5</v>
      </c>
      <c r="R154" s="4">
        <v>6.1</v>
      </c>
      <c r="S154" s="4">
        <v>84</v>
      </c>
      <c r="T154" s="4">
        <v>10.5</v>
      </c>
      <c r="U154" s="4">
        <v>432</v>
      </c>
      <c r="V154" s="4">
        <v>4.5</v>
      </c>
      <c r="W154" s="4">
        <v>5.6</v>
      </c>
      <c r="X154" s="4">
        <v>1310</v>
      </c>
      <c r="Y154" s="4">
        <v>0.8</v>
      </c>
      <c r="Z154">
        <f t="shared" si="15"/>
        <v>103.2258064516129</v>
      </c>
      <c r="AA154">
        <f t="shared" si="11"/>
        <v>2.3787226801873018</v>
      </c>
      <c r="AB154">
        <f t="shared" si="12"/>
        <v>877.4200700572502</v>
      </c>
      <c r="AC154">
        <f t="shared" si="13"/>
        <v>0.40579710144927533</v>
      </c>
      <c r="AD154">
        <f t="shared" si="14"/>
        <v>-2.4000000000000909E-2</v>
      </c>
    </row>
    <row r="155" spans="1:33">
      <c r="A155" s="4">
        <v>11</v>
      </c>
      <c r="B155" s="4" t="s">
        <v>1341</v>
      </c>
      <c r="C155" s="4">
        <v>20</v>
      </c>
      <c r="D155" s="4">
        <v>9</v>
      </c>
      <c r="E155" s="4">
        <v>8.1999999999999993</v>
      </c>
      <c r="F155" s="4" t="s">
        <v>1469</v>
      </c>
      <c r="G155" s="4" t="s">
        <v>1526</v>
      </c>
      <c r="H155" s="4">
        <v>6.62</v>
      </c>
      <c r="I155" s="4">
        <v>9.34</v>
      </c>
      <c r="J155" s="4">
        <v>15.96</v>
      </c>
      <c r="K155" s="4">
        <v>41</v>
      </c>
      <c r="L155" s="4">
        <v>24</v>
      </c>
      <c r="M155" s="4">
        <v>179</v>
      </c>
      <c r="N155" s="4">
        <v>164</v>
      </c>
      <c r="O155" s="4">
        <v>3.85</v>
      </c>
      <c r="P155" s="4">
        <v>28400</v>
      </c>
      <c r="Q155" s="4">
        <v>1.78</v>
      </c>
      <c r="R155" s="4">
        <v>5.0999999999999996</v>
      </c>
      <c r="S155" s="4">
        <v>20</v>
      </c>
      <c r="T155" s="4">
        <v>4.9000000000000004</v>
      </c>
      <c r="U155" s="4">
        <v>354</v>
      </c>
      <c r="V155" s="4">
        <v>1.7</v>
      </c>
      <c r="W155" s="4">
        <v>1.46</v>
      </c>
      <c r="X155" s="4">
        <v>790</v>
      </c>
      <c r="Y155" s="4">
        <v>1.2</v>
      </c>
      <c r="Z155">
        <f t="shared" si="15"/>
        <v>91.1111111111111</v>
      </c>
      <c r="AA155">
        <f t="shared" si="11"/>
        <v>3.0686194118500505</v>
      </c>
      <c r="AB155">
        <f t="shared" si="12"/>
        <v>26.331066740442111</v>
      </c>
      <c r="AC155">
        <f t="shared" si="13"/>
        <v>0.37922077922077918</v>
      </c>
      <c r="AD155">
        <f t="shared" si="14"/>
        <v>4.3999999999995154E-3</v>
      </c>
      <c r="AF155">
        <v>7</v>
      </c>
      <c r="AG155">
        <f>$AA$3*AF155/($AA$4+AF155^$AA$5)</f>
        <v>15.543516704199554</v>
      </c>
    </row>
    <row r="156" spans="1:33">
      <c r="A156" s="4">
        <v>18</v>
      </c>
      <c r="B156" s="4" t="s">
        <v>1361</v>
      </c>
      <c r="C156" s="4">
        <v>20</v>
      </c>
      <c r="D156" s="4">
        <v>7.4</v>
      </c>
      <c r="E156" s="4">
        <v>8.1</v>
      </c>
      <c r="F156" s="4" t="s">
        <v>1469</v>
      </c>
      <c r="G156" s="4" t="s">
        <v>1526</v>
      </c>
      <c r="H156" s="4">
        <v>8.65</v>
      </c>
      <c r="I156" s="4">
        <v>6.67</v>
      </c>
      <c r="J156" s="4">
        <v>15.32</v>
      </c>
      <c r="K156" s="4">
        <v>49</v>
      </c>
      <c r="L156" s="4">
        <v>21</v>
      </c>
      <c r="M156" s="4">
        <v>183</v>
      </c>
      <c r="N156" s="4">
        <v>155</v>
      </c>
      <c r="O156" s="4">
        <v>3.27</v>
      </c>
      <c r="P156" s="4">
        <v>37800</v>
      </c>
      <c r="Q156" s="4">
        <v>1.35</v>
      </c>
      <c r="R156" s="4">
        <v>5.0999999999999996</v>
      </c>
      <c r="S156" s="4">
        <v>17</v>
      </c>
      <c r="T156" s="4">
        <v>2.1</v>
      </c>
      <c r="U156" s="4">
        <v>345</v>
      </c>
      <c r="V156" s="4">
        <v>0.7</v>
      </c>
      <c r="W156" s="4">
        <v>1.28</v>
      </c>
      <c r="X156" s="4">
        <v>1560</v>
      </c>
      <c r="Y156" s="4">
        <v>0.6</v>
      </c>
      <c r="Z156">
        <f t="shared" si="15"/>
        <v>109.45945945945945</v>
      </c>
      <c r="AA156">
        <f t="shared" si="11"/>
        <v>3.1114461140772511</v>
      </c>
      <c r="AB156">
        <f t="shared" si="12"/>
        <v>24.885669872754949</v>
      </c>
      <c r="AC156">
        <f t="shared" si="13"/>
        <v>0.39143730886850153</v>
      </c>
      <c r="AD156">
        <f t="shared" si="14"/>
        <v>-6.0000000000002274E-3</v>
      </c>
      <c r="AF156">
        <v>14</v>
      </c>
      <c r="AG156">
        <f>$AA$3*AF156/($AA$4+AF156^$AA$5)</f>
        <v>23.61145021362346</v>
      </c>
    </row>
    <row r="157" spans="1:33">
      <c r="A157" s="4">
        <v>30</v>
      </c>
      <c r="B157" s="4" t="s">
        <v>1366</v>
      </c>
      <c r="C157" s="4">
        <v>20</v>
      </c>
      <c r="D157" s="4">
        <v>6.8</v>
      </c>
      <c r="E157" s="4">
        <v>7.8</v>
      </c>
      <c r="F157" s="4" t="s">
        <v>1469</v>
      </c>
      <c r="G157" s="4" t="s">
        <v>1526</v>
      </c>
      <c r="H157" s="4">
        <v>14.8</v>
      </c>
      <c r="I157" s="4">
        <v>12.2</v>
      </c>
      <c r="J157" s="4">
        <v>27</v>
      </c>
      <c r="K157" s="4">
        <v>46</v>
      </c>
      <c r="L157" s="4">
        <v>21</v>
      </c>
      <c r="M157" s="4">
        <v>157</v>
      </c>
      <c r="N157" s="4">
        <v>167</v>
      </c>
      <c r="O157" s="4">
        <v>5.6</v>
      </c>
      <c r="P157" s="4">
        <v>28000</v>
      </c>
      <c r="Q157" s="4">
        <v>1.52</v>
      </c>
      <c r="R157" s="4">
        <v>4.3</v>
      </c>
      <c r="S157" s="4">
        <v>24</v>
      </c>
      <c r="T157" s="4">
        <v>2.2999999999999998</v>
      </c>
      <c r="U157" s="4">
        <v>421</v>
      </c>
      <c r="V157" s="4">
        <v>1</v>
      </c>
      <c r="W157" s="4">
        <v>2.1</v>
      </c>
      <c r="X157" s="4">
        <v>2430</v>
      </c>
      <c r="Y157" s="4">
        <v>0.5</v>
      </c>
      <c r="Z157">
        <f t="shared" si="15"/>
        <v>114.70588235294117</v>
      </c>
      <c r="AA157">
        <f t="shared" si="11"/>
        <v>2.9289112803291766</v>
      </c>
      <c r="AB157">
        <f t="shared" si="12"/>
        <v>23.727505314904334</v>
      </c>
      <c r="AC157">
        <f t="shared" si="13"/>
        <v>0.37500000000000006</v>
      </c>
      <c r="AD157">
        <f t="shared" si="14"/>
        <v>7.0000000000005613E-3</v>
      </c>
      <c r="AF157">
        <v>26</v>
      </c>
      <c r="AG157">
        <f>$AA$3*AF157/($AA$4+AF157^$AA$5)</f>
        <v>31.629612452257071</v>
      </c>
    </row>
    <row r="158" spans="1:33">
      <c r="A158" s="4">
        <v>36</v>
      </c>
      <c r="B158" s="4" t="s">
        <v>1369</v>
      </c>
      <c r="C158" s="4">
        <v>20</v>
      </c>
      <c r="D158" s="4">
        <v>8.1999999999999993</v>
      </c>
      <c r="E158" s="4">
        <v>8.6</v>
      </c>
      <c r="F158" s="4" t="s">
        <v>1469</v>
      </c>
      <c r="G158" s="4" t="s">
        <v>1526</v>
      </c>
      <c r="H158" s="4">
        <v>10.65</v>
      </c>
      <c r="I158" s="4">
        <v>10.55</v>
      </c>
      <c r="J158" s="4">
        <v>21.2</v>
      </c>
      <c r="K158" s="4">
        <v>44</v>
      </c>
      <c r="L158" s="4">
        <v>22</v>
      </c>
      <c r="M158" s="4">
        <v>192</v>
      </c>
      <c r="N158" s="5" t="s">
        <v>1370</v>
      </c>
      <c r="O158" s="4">
        <v>4.63</v>
      </c>
      <c r="P158" s="4">
        <v>39100</v>
      </c>
      <c r="Q158" s="4">
        <v>1.33</v>
      </c>
      <c r="R158" s="4">
        <v>5.2</v>
      </c>
      <c r="S158" s="4">
        <v>24</v>
      </c>
      <c r="T158" s="4">
        <v>2.6</v>
      </c>
      <c r="U158" s="4">
        <v>350</v>
      </c>
      <c r="V158" s="4">
        <v>0.9</v>
      </c>
      <c r="W158" s="4">
        <v>1.74</v>
      </c>
      <c r="X158" s="4">
        <v>1780</v>
      </c>
      <c r="Y158" s="4">
        <v>0.5</v>
      </c>
      <c r="Z158">
        <f t="shared" si="15"/>
        <v>104.87804878048782</v>
      </c>
      <c r="AA158">
        <f t="shared" si="11"/>
        <v>3.0052606361265006</v>
      </c>
      <c r="AB158">
        <f t="shared" si="12"/>
        <v>31.301108549675643</v>
      </c>
      <c r="AC158">
        <f t="shared" si="13"/>
        <v>0.37580993520518358</v>
      </c>
      <c r="AD158" t="e">
        <f t="shared" si="14"/>
        <v>#VALUE!</v>
      </c>
    </row>
    <row r="159" spans="1:33">
      <c r="A159" s="4">
        <v>41</v>
      </c>
      <c r="B159" s="4" t="s">
        <v>1374</v>
      </c>
      <c r="C159" s="4">
        <v>20</v>
      </c>
      <c r="D159" s="4">
        <v>7.2</v>
      </c>
      <c r="E159" s="4">
        <v>6.3</v>
      </c>
      <c r="F159" s="9" t="s">
        <v>1469</v>
      </c>
      <c r="G159" s="9" t="s">
        <v>1526</v>
      </c>
      <c r="H159" s="4">
        <v>9.4</v>
      </c>
      <c r="I159" s="4">
        <v>7.7</v>
      </c>
      <c r="J159" s="4">
        <v>17.100000000000001</v>
      </c>
      <c r="K159" s="4">
        <v>42</v>
      </c>
      <c r="L159" s="4">
        <v>19</v>
      </c>
      <c r="M159" s="4">
        <v>183</v>
      </c>
      <c r="N159" s="4" t="s">
        <v>1371</v>
      </c>
      <c r="O159" s="4">
        <v>3.21</v>
      </c>
      <c r="P159" s="4">
        <v>46200</v>
      </c>
      <c r="Q159" s="4">
        <v>1.07</v>
      </c>
      <c r="R159" s="4">
        <v>4.9000000000000004</v>
      </c>
      <c r="S159" s="4">
        <v>16</v>
      </c>
      <c r="T159" s="4">
        <v>2.2999999999999998</v>
      </c>
      <c r="U159" s="4">
        <v>378</v>
      </c>
      <c r="V159" s="4">
        <v>0.9</v>
      </c>
      <c r="W159" s="4">
        <v>1.1599999999999999</v>
      </c>
      <c r="X159" s="4">
        <v>1400</v>
      </c>
      <c r="Y159" s="4">
        <v>0.8</v>
      </c>
      <c r="Z159">
        <f t="shared" si="15"/>
        <v>87.5</v>
      </c>
      <c r="AA159">
        <f t="shared" si="11"/>
        <v>3.1410106243956211</v>
      </c>
      <c r="AB159">
        <f t="shared" si="12"/>
        <v>9.9792138751813422</v>
      </c>
      <c r="AC159">
        <f t="shared" si="13"/>
        <v>0.36137071651090341</v>
      </c>
      <c r="AD159" t="e">
        <f t="shared" si="14"/>
        <v>#VALUE!</v>
      </c>
    </row>
    <row r="160" spans="1:33">
      <c r="A160" s="4">
        <v>56</v>
      </c>
      <c r="B160" s="4" t="s">
        <v>1360</v>
      </c>
      <c r="C160" s="4">
        <v>21</v>
      </c>
      <c r="D160" s="4">
        <v>6.8</v>
      </c>
      <c r="E160" s="4">
        <v>7</v>
      </c>
      <c r="F160" s="4" t="s">
        <v>1469</v>
      </c>
      <c r="G160" s="4" t="s">
        <v>1526</v>
      </c>
      <c r="H160" s="4">
        <v>10.9</v>
      </c>
      <c r="I160" s="4">
        <v>6.43</v>
      </c>
      <c r="J160" s="4">
        <v>17.329999999999998</v>
      </c>
      <c r="K160" s="4">
        <v>44</v>
      </c>
      <c r="L160" s="4">
        <v>17</v>
      </c>
      <c r="M160" s="4">
        <v>163</v>
      </c>
      <c r="N160" s="4">
        <v>171</v>
      </c>
      <c r="O160" s="4">
        <v>3.03</v>
      </c>
      <c r="P160" s="4">
        <v>36300</v>
      </c>
      <c r="Q160" s="4">
        <v>1.53</v>
      </c>
      <c r="R160" s="4">
        <v>5.6</v>
      </c>
      <c r="S160" s="4">
        <v>17</v>
      </c>
      <c r="T160" s="4">
        <v>1.6</v>
      </c>
      <c r="U160" s="4">
        <v>380</v>
      </c>
      <c r="V160" s="4">
        <v>0.6</v>
      </c>
      <c r="W160" s="4">
        <v>1.1200000000000001</v>
      </c>
      <c r="X160" s="4">
        <v>1890</v>
      </c>
      <c r="Y160" s="4">
        <v>0.5</v>
      </c>
      <c r="Z160">
        <f t="shared" si="15"/>
        <v>102.94117647058823</v>
      </c>
      <c r="AA160">
        <f t="shared" si="11"/>
        <v>3.1510584545966998</v>
      </c>
      <c r="AB160">
        <f t="shared" si="12"/>
        <v>14.814351019931545</v>
      </c>
      <c r="AC160">
        <f t="shared" si="13"/>
        <v>0.36963696369636967</v>
      </c>
      <c r="AD160">
        <f t="shared" si="14"/>
        <v>5.2000000000003155E-3</v>
      </c>
    </row>
    <row r="161" spans="1:30">
      <c r="A161" s="4">
        <v>63</v>
      </c>
      <c r="B161" s="4" t="s">
        <v>1383</v>
      </c>
      <c r="C161" s="4">
        <v>21</v>
      </c>
      <c r="D161" s="4">
        <v>9.6</v>
      </c>
      <c r="E161" s="4">
        <v>8.8000000000000007</v>
      </c>
      <c r="F161" s="4" t="s">
        <v>1469</v>
      </c>
      <c r="G161" s="4" t="s">
        <v>1526</v>
      </c>
      <c r="H161" s="4">
        <v>7.86</v>
      </c>
      <c r="I161" s="4">
        <v>15.94</v>
      </c>
      <c r="J161" s="4">
        <v>23.8</v>
      </c>
      <c r="K161" s="4">
        <v>45</v>
      </c>
      <c r="L161" s="4">
        <v>30</v>
      </c>
      <c r="M161" s="4">
        <v>178</v>
      </c>
      <c r="N161" s="4">
        <v>182</v>
      </c>
      <c r="O161" s="4">
        <v>7.25</v>
      </c>
      <c r="P161" s="4">
        <v>28800</v>
      </c>
      <c r="Q161" s="4">
        <v>1.91</v>
      </c>
      <c r="R161" s="4">
        <v>5.5</v>
      </c>
      <c r="S161" s="4">
        <v>40</v>
      </c>
      <c r="T161" s="4">
        <v>3.4</v>
      </c>
      <c r="U161" s="4">
        <v>373</v>
      </c>
      <c r="V161" s="4">
        <v>1.3</v>
      </c>
      <c r="W161" s="4">
        <v>2.57</v>
      </c>
      <c r="X161" s="4">
        <v>2130</v>
      </c>
      <c r="Y161" s="4">
        <v>0.5</v>
      </c>
      <c r="Z161">
        <f t="shared" si="15"/>
        <v>91.666666666666686</v>
      </c>
      <c r="AA161">
        <f t="shared" si="11"/>
        <v>2.8366464951533521</v>
      </c>
      <c r="AB161">
        <f t="shared" si="12"/>
        <v>35.56158502376681</v>
      </c>
      <c r="AC161">
        <f t="shared" si="13"/>
        <v>0.35448275862068962</v>
      </c>
      <c r="AD161">
        <f t="shared" si="14"/>
        <v>-2.6000000000001577E-3</v>
      </c>
    </row>
    <row r="162" spans="1:30">
      <c r="A162" s="4">
        <v>66</v>
      </c>
      <c r="B162" s="4" t="s">
        <v>1384</v>
      </c>
      <c r="C162" s="4">
        <v>21</v>
      </c>
      <c r="D162" s="4">
        <v>13.3</v>
      </c>
      <c r="E162" s="4">
        <v>9</v>
      </c>
      <c r="F162" s="4" t="s">
        <v>1469</v>
      </c>
      <c r="G162" s="4" t="s">
        <v>1526</v>
      </c>
      <c r="H162" s="4">
        <v>5.3</v>
      </c>
      <c r="I162" s="4">
        <v>49.25</v>
      </c>
      <c r="J162" s="4">
        <v>54.55</v>
      </c>
      <c r="K162" s="4">
        <v>37</v>
      </c>
      <c r="L162" s="4">
        <v>34</v>
      </c>
      <c r="M162" s="4">
        <v>163</v>
      </c>
      <c r="N162" s="4">
        <v>183</v>
      </c>
      <c r="O162" s="4">
        <v>18.420000000000002</v>
      </c>
      <c r="P162" s="4">
        <v>27300</v>
      </c>
      <c r="Q162" s="4">
        <v>1.84</v>
      </c>
      <c r="R162" s="4">
        <v>5</v>
      </c>
      <c r="S162" s="4">
        <v>93</v>
      </c>
      <c r="T162" s="4">
        <v>7</v>
      </c>
      <c r="U162" s="4">
        <v>377</v>
      </c>
      <c r="V162" s="4">
        <v>2.6</v>
      </c>
      <c r="W162" s="4">
        <v>6.52</v>
      </c>
      <c r="X162" s="4">
        <v>2630</v>
      </c>
      <c r="Y162" s="4">
        <v>0.4</v>
      </c>
      <c r="Z162">
        <f t="shared" si="15"/>
        <v>67.669172932330824</v>
      </c>
      <c r="AA162">
        <f t="shared" si="11"/>
        <v>2.2719398015505039</v>
      </c>
      <c r="AB162">
        <f t="shared" si="12"/>
        <v>45.266794033960274</v>
      </c>
      <c r="AC162">
        <f t="shared" si="13"/>
        <v>0.35396308360477735</v>
      </c>
      <c r="AD162">
        <f t="shared" si="14"/>
        <v>3.1599999999997408E-2</v>
      </c>
    </row>
    <row r="163" spans="1:30">
      <c r="A163" s="4">
        <v>71</v>
      </c>
      <c r="B163" s="4" t="s">
        <v>1342</v>
      </c>
      <c r="C163" s="4">
        <v>24</v>
      </c>
      <c r="D163" s="4">
        <v>11</v>
      </c>
      <c r="E163" s="4">
        <v>11.6</v>
      </c>
      <c r="F163" s="4" t="s">
        <v>1469</v>
      </c>
      <c r="G163" s="4" t="s">
        <v>1526</v>
      </c>
      <c r="H163" s="4">
        <v>6.3</v>
      </c>
      <c r="I163" s="4">
        <v>20.94</v>
      </c>
      <c r="J163" s="4">
        <v>27.24</v>
      </c>
      <c r="K163" s="4">
        <v>23</v>
      </c>
      <c r="L163" s="4">
        <v>18</v>
      </c>
      <c r="M163" s="4">
        <v>169</v>
      </c>
      <c r="N163" s="4">
        <v>150</v>
      </c>
      <c r="O163" s="4">
        <v>4.7699999999999996</v>
      </c>
      <c r="P163" s="4">
        <v>29000</v>
      </c>
      <c r="Q163" s="4">
        <v>1.91</v>
      </c>
      <c r="R163" s="4">
        <v>5.5</v>
      </c>
      <c r="S163" s="4">
        <v>26</v>
      </c>
      <c r="T163" s="4">
        <v>5.2</v>
      </c>
      <c r="U163" s="4">
        <v>398</v>
      </c>
      <c r="V163" s="4">
        <v>2.1</v>
      </c>
      <c r="W163" s="4">
        <v>1.91</v>
      </c>
      <c r="X163" s="4">
        <v>920</v>
      </c>
      <c r="Y163" s="4">
        <v>1.1000000000000001</v>
      </c>
      <c r="Z163">
        <f t="shared" si="15"/>
        <v>105.45454545454545</v>
      </c>
      <c r="AA163">
        <f t="shared" si="11"/>
        <v>2.9685375582058011</v>
      </c>
      <c r="AB163">
        <f t="shared" si="12"/>
        <v>74.502143884103873</v>
      </c>
      <c r="AC163">
        <f t="shared" si="13"/>
        <v>0.40041928721174008</v>
      </c>
      <c r="AD163">
        <f t="shared" si="14"/>
        <v>4.9999999999998934E-3</v>
      </c>
    </row>
    <row r="164" spans="1:30">
      <c r="A164" s="4">
        <v>76</v>
      </c>
      <c r="B164" s="6" t="s">
        <v>1530</v>
      </c>
      <c r="C164" s="4">
        <v>25</v>
      </c>
      <c r="D164" s="4">
        <v>11.3</v>
      </c>
      <c r="E164" s="4">
        <v>10.8</v>
      </c>
      <c r="F164" s="4" t="s">
        <v>1469</v>
      </c>
      <c r="G164" s="4" t="s">
        <v>1526</v>
      </c>
      <c r="H164" s="4">
        <v>6.2</v>
      </c>
      <c r="I164" s="4">
        <v>18.72</v>
      </c>
      <c r="J164" s="4">
        <v>24.92</v>
      </c>
      <c r="K164" s="4">
        <v>31</v>
      </c>
      <c r="L164" s="4">
        <v>23</v>
      </c>
      <c r="M164" s="4" t="s">
        <v>1388</v>
      </c>
      <c r="N164" s="4">
        <v>192</v>
      </c>
      <c r="O164" s="4">
        <v>5.72</v>
      </c>
      <c r="P164" s="4">
        <v>28400</v>
      </c>
      <c r="Q164" s="4">
        <v>1.57</v>
      </c>
      <c r="R164" s="4">
        <v>4.5</v>
      </c>
      <c r="S164" s="4">
        <v>26</v>
      </c>
      <c r="T164" s="4">
        <v>4.2</v>
      </c>
      <c r="U164" s="4">
        <v>384</v>
      </c>
      <c r="V164" s="4">
        <v>1.6</v>
      </c>
      <c r="W164" s="4">
        <v>1.96</v>
      </c>
      <c r="X164" s="4">
        <v>1360</v>
      </c>
      <c r="Y164" s="4">
        <v>0.8</v>
      </c>
      <c r="Z164">
        <f t="shared" si="15"/>
        <v>95.575221238938042</v>
      </c>
      <c r="AA164">
        <f t="shared" si="11"/>
        <v>2.957969045483694</v>
      </c>
      <c r="AB164">
        <f t="shared" si="12"/>
        <v>61.497449491591944</v>
      </c>
      <c r="AC164">
        <f t="shared" si="13"/>
        <v>0.34265734265734266</v>
      </c>
      <c r="AD164">
        <f t="shared" si="14"/>
        <v>3.1999999999996476E-3</v>
      </c>
    </row>
    <row r="165" spans="1:30">
      <c r="A165" s="4">
        <v>79</v>
      </c>
      <c r="B165" s="4" t="s">
        <v>1390</v>
      </c>
      <c r="C165" s="4">
        <v>25</v>
      </c>
      <c r="D165" s="4">
        <v>9</v>
      </c>
      <c r="E165" s="4">
        <v>9.6</v>
      </c>
      <c r="F165" s="4" t="s">
        <v>1469</v>
      </c>
      <c r="G165" s="4" t="s">
        <v>1526</v>
      </c>
      <c r="H165" s="4">
        <v>10.7</v>
      </c>
      <c r="I165" s="4">
        <v>9</v>
      </c>
      <c r="J165" s="4">
        <v>19.7</v>
      </c>
      <c r="K165" s="4">
        <v>48</v>
      </c>
      <c r="L165" s="4">
        <v>22</v>
      </c>
      <c r="M165" s="4">
        <v>150</v>
      </c>
      <c r="N165" s="4">
        <v>138</v>
      </c>
      <c r="O165" s="4">
        <v>4.33</v>
      </c>
      <c r="P165" s="4">
        <v>34700</v>
      </c>
      <c r="Q165" s="4">
        <v>1.74</v>
      </c>
      <c r="R165" s="4">
        <v>6</v>
      </c>
      <c r="S165" s="4">
        <v>26</v>
      </c>
      <c r="T165" s="4">
        <v>3.4</v>
      </c>
      <c r="U165" s="4">
        <v>417</v>
      </c>
      <c r="V165" s="4">
        <v>1.4</v>
      </c>
      <c r="W165" s="4">
        <v>1.82</v>
      </c>
      <c r="X165" s="4">
        <v>1270</v>
      </c>
      <c r="Y165" s="4">
        <v>0.8</v>
      </c>
      <c r="Z165">
        <f t="shared" si="15"/>
        <v>106.66666666666667</v>
      </c>
      <c r="AA165">
        <f t="shared" si="11"/>
        <v>2.9878239631606709</v>
      </c>
      <c r="AB165">
        <f t="shared" si="12"/>
        <v>43.72087194215225</v>
      </c>
      <c r="AC165">
        <f t="shared" si="13"/>
        <v>0.42032332563510394</v>
      </c>
      <c r="AD165">
        <f t="shared" si="14"/>
        <v>1.5999999999998238E-3</v>
      </c>
    </row>
    <row r="166" spans="1:30">
      <c r="A166" s="4">
        <v>80</v>
      </c>
      <c r="B166" s="4" t="s">
        <v>1391</v>
      </c>
      <c r="C166" s="4">
        <v>25</v>
      </c>
      <c r="D166" s="4">
        <v>10.1</v>
      </c>
      <c r="E166" s="4">
        <v>12.4</v>
      </c>
      <c r="F166" s="4" t="s">
        <v>1469</v>
      </c>
      <c r="G166" s="4" t="s">
        <v>1526</v>
      </c>
      <c r="H166" s="4">
        <v>9.6999999999999993</v>
      </c>
      <c r="I166" s="4">
        <v>13.2</v>
      </c>
      <c r="J166" s="4">
        <v>22.9</v>
      </c>
      <c r="K166" s="4">
        <v>36</v>
      </c>
      <c r="L166" s="4">
        <v>21</v>
      </c>
      <c r="M166" s="4">
        <v>133</v>
      </c>
      <c r="N166" s="4">
        <v>133</v>
      </c>
      <c r="O166" s="4">
        <v>4.8099999999999996</v>
      </c>
      <c r="P166" s="4">
        <v>28300</v>
      </c>
      <c r="Q166" s="4">
        <v>1.99</v>
      </c>
      <c r="R166" s="4">
        <v>5.6</v>
      </c>
      <c r="S166" s="4">
        <v>27</v>
      </c>
      <c r="T166" s="4">
        <v>3.2</v>
      </c>
      <c r="U166" s="4">
        <v>420</v>
      </c>
      <c r="V166" s="4">
        <v>1.3</v>
      </c>
      <c r="W166" s="4">
        <v>2.06</v>
      </c>
      <c r="X166" s="4">
        <v>1500</v>
      </c>
      <c r="Y166" s="4">
        <v>0.6</v>
      </c>
      <c r="Z166">
        <f t="shared" si="15"/>
        <v>122.77227722772278</v>
      </c>
      <c r="AA166">
        <f t="shared" si="11"/>
        <v>2.9371348231489041</v>
      </c>
      <c r="AB166">
        <f t="shared" si="12"/>
        <v>89.545817355261136</v>
      </c>
      <c r="AC166">
        <f t="shared" si="13"/>
        <v>0.4282744282744283</v>
      </c>
      <c r="AD166">
        <f t="shared" si="14"/>
        <v>-1.0199999999999321E-2</v>
      </c>
    </row>
    <row r="167" spans="1:30">
      <c r="A167" s="4">
        <v>84</v>
      </c>
      <c r="B167" s="4" t="s">
        <v>1393</v>
      </c>
      <c r="C167" s="4">
        <v>22</v>
      </c>
      <c r="D167" s="4">
        <v>10.8</v>
      </c>
      <c r="E167" s="4">
        <v>9.8000000000000007</v>
      </c>
      <c r="F167" s="4" t="s">
        <v>1469</v>
      </c>
      <c r="G167" s="4" t="s">
        <v>1526</v>
      </c>
      <c r="H167" s="4">
        <v>6</v>
      </c>
      <c r="I167" s="4">
        <v>11.44</v>
      </c>
      <c r="J167" s="4">
        <v>17.440000000000001</v>
      </c>
      <c r="K167" s="4">
        <v>35</v>
      </c>
      <c r="L167" s="4">
        <v>23</v>
      </c>
      <c r="M167" s="4">
        <v>139</v>
      </c>
      <c r="N167" s="4">
        <v>109</v>
      </c>
      <c r="O167" s="4">
        <v>4.05</v>
      </c>
      <c r="P167" s="4">
        <v>52000</v>
      </c>
      <c r="Q167" s="4">
        <v>1.1299999999999999</v>
      </c>
      <c r="R167" s="4">
        <v>5.9</v>
      </c>
      <c r="S167" s="4">
        <v>24</v>
      </c>
      <c r="T167" s="4">
        <v>2.8</v>
      </c>
      <c r="U167" s="4">
        <v>428</v>
      </c>
      <c r="V167" s="4">
        <v>1.2</v>
      </c>
      <c r="W167" s="4">
        <v>1.94</v>
      </c>
      <c r="X167" s="4">
        <v>1450</v>
      </c>
      <c r="Y167" s="4">
        <v>1.4</v>
      </c>
      <c r="Z167">
        <f t="shared" si="15"/>
        <v>90.740740740740748</v>
      </c>
      <c r="AA167">
        <f t="shared" si="11"/>
        <v>2.9621841358093617</v>
      </c>
      <c r="AB167">
        <f t="shared" si="12"/>
        <v>46.755725792577174</v>
      </c>
      <c r="AC167">
        <f t="shared" si="13"/>
        <v>0.47901234567901235</v>
      </c>
      <c r="AD167">
        <f t="shared" si="14"/>
        <v>4.5999999999999375E-3</v>
      </c>
    </row>
    <row r="168" spans="1:30">
      <c r="A168" s="4">
        <v>88</v>
      </c>
      <c r="B168" s="4" t="s">
        <v>1386</v>
      </c>
      <c r="C168" s="4">
        <v>28</v>
      </c>
      <c r="D168" s="4">
        <v>9.8000000000000007</v>
      </c>
      <c r="E168" s="4">
        <v>10.199999999999999</v>
      </c>
      <c r="F168" s="4" t="s">
        <v>1469</v>
      </c>
      <c r="G168" s="4" t="s">
        <v>1526</v>
      </c>
      <c r="H168" s="4">
        <v>9</v>
      </c>
      <c r="I168" s="4">
        <v>7.64</v>
      </c>
      <c r="J168" s="4">
        <v>16.64</v>
      </c>
      <c r="K168" s="4">
        <v>26</v>
      </c>
      <c r="L168" s="4">
        <v>12</v>
      </c>
      <c r="M168" s="4">
        <v>165</v>
      </c>
      <c r="N168" s="4">
        <v>167</v>
      </c>
      <c r="O168" s="4">
        <v>2</v>
      </c>
      <c r="P168" s="4">
        <v>50400</v>
      </c>
      <c r="Q168" s="4">
        <v>1.24</v>
      </c>
      <c r="R168" s="4">
        <v>6.3</v>
      </c>
      <c r="S168" s="4">
        <v>13</v>
      </c>
      <c r="T168" s="4">
        <v>2.5</v>
      </c>
      <c r="U168" s="4">
        <v>412</v>
      </c>
      <c r="V168" s="4">
        <v>1</v>
      </c>
      <c r="W168" s="4">
        <v>0.75</v>
      </c>
      <c r="X168" s="4">
        <v>800</v>
      </c>
      <c r="Y168" s="4">
        <v>1.3</v>
      </c>
      <c r="Z168">
        <f t="shared" si="15"/>
        <v>104.08163265306121</v>
      </c>
      <c r="AA168">
        <f t="shared" si="11"/>
        <v>3.2491978290488208</v>
      </c>
      <c r="AB168">
        <f t="shared" si="12"/>
        <v>48.31365081969961</v>
      </c>
      <c r="AC168">
        <f t="shared" si="13"/>
        <v>0.375</v>
      </c>
      <c r="AD168">
        <f t="shared" si="14"/>
        <v>2.4999999999999467E-3</v>
      </c>
    </row>
    <row r="169" spans="1:30">
      <c r="A169" s="4">
        <v>94</v>
      </c>
      <c r="B169" s="4" t="s">
        <v>1369</v>
      </c>
      <c r="C169" s="4">
        <v>28</v>
      </c>
      <c r="D169" s="4">
        <v>12.6</v>
      </c>
      <c r="E169" s="4">
        <v>15</v>
      </c>
      <c r="F169" s="4" t="s">
        <v>1469</v>
      </c>
      <c r="G169" s="4" t="s">
        <v>1526</v>
      </c>
      <c r="H169" s="4">
        <v>8.4</v>
      </c>
      <c r="I169" s="4">
        <v>14.89</v>
      </c>
      <c r="J169" s="4">
        <v>23.29</v>
      </c>
      <c r="K169" s="4">
        <v>27</v>
      </c>
      <c r="L169" s="4">
        <v>17</v>
      </c>
      <c r="M169" s="4">
        <v>160</v>
      </c>
      <c r="N169" s="4">
        <v>163</v>
      </c>
      <c r="O169" s="4">
        <v>3.95</v>
      </c>
      <c r="P169" s="4">
        <v>34800</v>
      </c>
      <c r="Q169" s="9">
        <v>1.83</v>
      </c>
      <c r="R169" s="4">
        <v>6.4</v>
      </c>
      <c r="S169" s="4">
        <v>25</v>
      </c>
      <c r="T169" s="4">
        <v>6.8</v>
      </c>
      <c r="U169" s="4">
        <v>410</v>
      </c>
      <c r="V169" s="4">
        <v>2.8</v>
      </c>
      <c r="W169" s="4">
        <v>1.5</v>
      </c>
      <c r="X169" s="4">
        <v>580</v>
      </c>
      <c r="Y169" s="4">
        <v>1.9</v>
      </c>
      <c r="Z169">
        <f t="shared" si="15"/>
        <v>119.04761904761905</v>
      </c>
      <c r="AA169">
        <f t="shared" si="11"/>
        <v>3.0593344585155675</v>
      </c>
      <c r="AB169">
        <f t="shared" si="12"/>
        <v>142.57949357359368</v>
      </c>
      <c r="AC169">
        <f t="shared" si="13"/>
        <v>0.37974683544303794</v>
      </c>
      <c r="AD169">
        <f t="shared" si="14"/>
        <v>-5.0000000000003375E-3</v>
      </c>
    </row>
    <row r="170" spans="1:30">
      <c r="A170" s="4">
        <v>113</v>
      </c>
      <c r="B170" s="4" t="s">
        <v>1406</v>
      </c>
      <c r="C170" s="4">
        <v>32</v>
      </c>
      <c r="D170" s="4">
        <v>11</v>
      </c>
      <c r="E170" s="4">
        <v>10</v>
      </c>
      <c r="F170" s="4" t="s">
        <v>1469</v>
      </c>
      <c r="G170" s="4" t="s">
        <v>1526</v>
      </c>
      <c r="H170" s="4">
        <v>6.8</v>
      </c>
      <c r="I170" s="4">
        <v>9.4</v>
      </c>
      <c r="J170" s="4">
        <v>16.2</v>
      </c>
      <c r="K170" s="4">
        <v>39</v>
      </c>
      <c r="L170" s="4">
        <v>23</v>
      </c>
      <c r="M170" s="4">
        <v>138</v>
      </c>
      <c r="N170" s="4">
        <v>131</v>
      </c>
      <c r="O170" s="4">
        <v>3.7</v>
      </c>
      <c r="P170" s="4">
        <v>45000</v>
      </c>
      <c r="Q170" s="4">
        <v>1.4</v>
      </c>
      <c r="R170" s="4">
        <v>6.3</v>
      </c>
      <c r="S170" s="4">
        <v>23</v>
      </c>
      <c r="T170" s="4">
        <v>3.3</v>
      </c>
      <c r="U170" s="4">
        <v>377</v>
      </c>
      <c r="V170" s="4">
        <v>1.2</v>
      </c>
      <c r="W170" s="4">
        <v>1.6</v>
      </c>
      <c r="X170" s="4">
        <v>1120</v>
      </c>
      <c r="Y170" s="4">
        <v>0.7</v>
      </c>
      <c r="Z170">
        <f t="shared" si="15"/>
        <v>90.909090909090907</v>
      </c>
      <c r="AA170">
        <f t="shared" si="11"/>
        <v>3.0364708038842374</v>
      </c>
      <c r="AB170">
        <f t="shared" si="12"/>
        <v>48.490738865156644</v>
      </c>
      <c r="AC170">
        <f t="shared" si="13"/>
        <v>0.43243243243243246</v>
      </c>
      <c r="AD170">
        <f t="shared" si="14"/>
        <v>-4.0000000000000036E-3</v>
      </c>
    </row>
    <row r="171" spans="1:30">
      <c r="A171" s="4">
        <v>125</v>
      </c>
      <c r="B171" s="4" t="s">
        <v>1342</v>
      </c>
      <c r="C171" s="4">
        <v>32</v>
      </c>
      <c r="D171" s="4">
        <v>14</v>
      </c>
      <c r="E171" s="4">
        <v>16</v>
      </c>
      <c r="F171" s="4" t="s">
        <v>1469</v>
      </c>
      <c r="G171" s="4" t="s">
        <v>1526</v>
      </c>
      <c r="H171" s="4">
        <v>7.5</v>
      </c>
      <c r="I171" s="4">
        <v>18.5</v>
      </c>
      <c r="J171" s="4">
        <v>26</v>
      </c>
      <c r="K171" s="4">
        <v>32</v>
      </c>
      <c r="L171" s="4">
        <v>23</v>
      </c>
      <c r="M171" s="4">
        <v>154</v>
      </c>
      <c r="N171" s="4">
        <v>150</v>
      </c>
      <c r="O171" s="4">
        <v>6</v>
      </c>
      <c r="P171" s="4">
        <v>30000</v>
      </c>
      <c r="Q171" s="4">
        <v>1.8</v>
      </c>
      <c r="R171" s="4">
        <v>5.4</v>
      </c>
      <c r="S171" s="4">
        <v>32</v>
      </c>
      <c r="T171" s="4">
        <v>6.9</v>
      </c>
      <c r="U171" s="4">
        <v>424</v>
      </c>
      <c r="V171" s="4">
        <v>2.9</v>
      </c>
      <c r="W171" s="4">
        <v>2.4</v>
      </c>
      <c r="X171" s="4">
        <v>870</v>
      </c>
      <c r="Y171" s="4">
        <v>1.2</v>
      </c>
      <c r="Z171">
        <f t="shared" si="15"/>
        <v>114.28571428571429</v>
      </c>
      <c r="AA171">
        <f t="shared" si="11"/>
        <v>2.8691294422950775</v>
      </c>
      <c r="AB171">
        <f t="shared" si="12"/>
        <v>172.41976160320198</v>
      </c>
      <c r="AC171">
        <f t="shared" si="13"/>
        <v>0.39999999999999997</v>
      </c>
      <c r="AD171">
        <f t="shared" si="14"/>
        <v>0</v>
      </c>
    </row>
    <row r="172" spans="1:30">
      <c r="A172" s="4">
        <v>129</v>
      </c>
      <c r="B172" s="4" t="s">
        <v>1369</v>
      </c>
      <c r="C172" s="4">
        <v>32</v>
      </c>
      <c r="D172" s="4">
        <v>15</v>
      </c>
      <c r="E172" s="4">
        <v>16</v>
      </c>
      <c r="F172" s="4" t="s">
        <v>1469</v>
      </c>
      <c r="G172" s="4" t="s">
        <v>1526</v>
      </c>
      <c r="H172" s="4">
        <v>8</v>
      </c>
      <c r="I172" s="4">
        <v>14.4</v>
      </c>
      <c r="J172" s="4">
        <v>22.4</v>
      </c>
      <c r="K172" s="4">
        <v>34</v>
      </c>
      <c r="L172" s="4">
        <v>22</v>
      </c>
      <c r="M172" s="4">
        <v>161</v>
      </c>
      <c r="N172" s="4">
        <v>158</v>
      </c>
      <c r="O172" s="4">
        <v>4.9000000000000004</v>
      </c>
      <c r="P172" s="4">
        <v>28800</v>
      </c>
      <c r="Q172" s="4">
        <v>1.98</v>
      </c>
      <c r="R172" s="4">
        <v>5.7</v>
      </c>
      <c r="S172" s="4">
        <v>28</v>
      </c>
      <c r="T172" s="4">
        <v>5.8</v>
      </c>
      <c r="U172" s="4">
        <v>440</v>
      </c>
      <c r="V172" s="4">
        <v>2.6</v>
      </c>
      <c r="W172" s="4">
        <v>1.9</v>
      </c>
      <c r="X172" s="4">
        <v>840</v>
      </c>
      <c r="Y172" s="4">
        <v>1.4</v>
      </c>
      <c r="Z172">
        <f t="shared" si="15"/>
        <v>106.66666666666667</v>
      </c>
      <c r="AA172">
        <f t="shared" si="11"/>
        <v>2.9706636453006947</v>
      </c>
      <c r="AB172">
        <f t="shared" si="12"/>
        <v>169.76360584388897</v>
      </c>
      <c r="AC172">
        <f t="shared" si="13"/>
        <v>0.38775510204081626</v>
      </c>
      <c r="AD172">
        <f t="shared" si="14"/>
        <v>1.9999999999997797E-3</v>
      </c>
    </row>
    <row r="173" spans="1:30">
      <c r="A173" s="4">
        <v>133</v>
      </c>
      <c r="B173" s="4" t="s">
        <v>1413</v>
      </c>
      <c r="C173" s="4">
        <v>32</v>
      </c>
      <c r="D173" s="4">
        <v>14</v>
      </c>
      <c r="E173" s="4">
        <v>16</v>
      </c>
      <c r="F173" s="4" t="s">
        <v>1469</v>
      </c>
      <c r="G173" s="4" t="s">
        <v>1526</v>
      </c>
      <c r="H173" s="4" t="s">
        <v>1414</v>
      </c>
      <c r="I173" s="4">
        <v>12.6</v>
      </c>
      <c r="J173" s="4">
        <v>20.3</v>
      </c>
      <c r="K173" s="4">
        <v>33</v>
      </c>
      <c r="L173" s="4">
        <v>21</v>
      </c>
      <c r="M173" s="4">
        <v>155</v>
      </c>
      <c r="N173" s="4">
        <v>147</v>
      </c>
      <c r="O173" s="4">
        <v>4.2</v>
      </c>
      <c r="P173" s="4">
        <v>28800</v>
      </c>
      <c r="Q173" s="4">
        <v>1.97</v>
      </c>
      <c r="R173" s="4">
        <v>5.7</v>
      </c>
      <c r="S173" s="4">
        <v>24</v>
      </c>
      <c r="T173" s="4">
        <v>5.6</v>
      </c>
      <c r="U173" s="4">
        <v>414</v>
      </c>
      <c r="V173" s="4">
        <v>2.2999999999999998</v>
      </c>
      <c r="W173" s="4">
        <v>1.7</v>
      </c>
      <c r="X173" s="4">
        <v>750</v>
      </c>
      <c r="Y173" s="4">
        <v>1.4</v>
      </c>
      <c r="Z173">
        <f t="shared" si="15"/>
        <v>114.28571428571429</v>
      </c>
      <c r="AA173">
        <f t="shared" si="11"/>
        <v>3.0140857523835849</v>
      </c>
      <c r="AB173">
        <f t="shared" si="12"/>
        <v>168.633968846447</v>
      </c>
      <c r="AC173">
        <f t="shared" si="13"/>
        <v>0.40476190476190471</v>
      </c>
      <c r="AD173">
        <f t="shared" si="14"/>
        <v>-1.000000000000334E-3</v>
      </c>
    </row>
    <row r="174" spans="1:30">
      <c r="A174" s="4">
        <v>137</v>
      </c>
      <c r="B174" s="4" t="s">
        <v>1416</v>
      </c>
      <c r="C174" s="4">
        <v>32</v>
      </c>
      <c r="D174" s="4">
        <v>10</v>
      </c>
      <c r="E174" s="4">
        <v>12</v>
      </c>
      <c r="F174" s="4" t="s">
        <v>1469</v>
      </c>
      <c r="G174" s="4" t="s">
        <v>1526</v>
      </c>
      <c r="H174" s="4">
        <v>12.5</v>
      </c>
      <c r="I174" s="4">
        <v>8.1999999999999993</v>
      </c>
      <c r="J174" s="4">
        <v>20.7</v>
      </c>
      <c r="K174" s="4">
        <v>35</v>
      </c>
      <c r="L174" s="4">
        <v>14</v>
      </c>
      <c r="M174" s="4">
        <v>145</v>
      </c>
      <c r="N174" s="4">
        <v>142</v>
      </c>
      <c r="O174" s="4">
        <v>2.9</v>
      </c>
      <c r="P174" s="4">
        <v>36100</v>
      </c>
      <c r="Q174" s="4">
        <v>1.65</v>
      </c>
      <c r="R174" s="4">
        <v>6</v>
      </c>
      <c r="S174" s="4">
        <v>17</v>
      </c>
      <c r="T174" s="4">
        <v>2.8</v>
      </c>
      <c r="U174" s="4">
        <v>423</v>
      </c>
      <c r="V174" s="4">
        <v>1.2</v>
      </c>
      <c r="W174" s="4">
        <v>1.2</v>
      </c>
      <c r="X174" s="4">
        <v>1040</v>
      </c>
      <c r="Y174" s="4">
        <v>1</v>
      </c>
      <c r="Z174">
        <f t="shared" si="15"/>
        <v>120</v>
      </c>
      <c r="AA174">
        <f t="shared" si="11"/>
        <v>3.1310609362581405</v>
      </c>
      <c r="AB174">
        <f t="shared" si="12"/>
        <v>78.658080116366321</v>
      </c>
      <c r="AC174">
        <f t="shared" si="13"/>
        <v>0.41379310344827586</v>
      </c>
      <c r="AD174">
        <f t="shared" si="14"/>
        <v>4.0000000000000036E-3</v>
      </c>
    </row>
    <row r="175" spans="1:30">
      <c r="A175" s="4">
        <v>141</v>
      </c>
      <c r="B175" s="4" t="s">
        <v>1418</v>
      </c>
      <c r="C175" s="4">
        <v>33</v>
      </c>
      <c r="D175" s="4">
        <v>10</v>
      </c>
      <c r="E175" s="4">
        <v>6</v>
      </c>
      <c r="F175" s="4" t="s">
        <v>1469</v>
      </c>
      <c r="G175" s="4" t="s">
        <v>1526</v>
      </c>
      <c r="H175" s="4">
        <v>2.4</v>
      </c>
      <c r="I175" s="4">
        <v>9.9</v>
      </c>
      <c r="J175" s="4">
        <v>12.3</v>
      </c>
      <c r="K175" s="4">
        <v>31</v>
      </c>
      <c r="L175" s="4">
        <v>25</v>
      </c>
      <c r="M175" s="4">
        <v>121</v>
      </c>
      <c r="N175" s="4">
        <v>121</v>
      </c>
      <c r="O175" s="4">
        <v>3.1</v>
      </c>
      <c r="P175" s="4">
        <v>86800</v>
      </c>
      <c r="Q175" s="4">
        <v>0.8</v>
      </c>
      <c r="R175" s="4">
        <v>6.9</v>
      </c>
      <c r="S175" s="4">
        <v>21</v>
      </c>
      <c r="T175" s="4">
        <v>1.3</v>
      </c>
      <c r="U175" s="4">
        <v>335</v>
      </c>
      <c r="V175" s="4">
        <v>0.4</v>
      </c>
      <c r="W175" s="4">
        <v>1.4</v>
      </c>
      <c r="X175" s="4">
        <v>2390</v>
      </c>
      <c r="Y175" s="4">
        <v>0.3</v>
      </c>
      <c r="Z175">
        <f t="shared" si="15"/>
        <v>60</v>
      </c>
      <c r="AA175">
        <f t="shared" si="11"/>
        <v>3.0827015996667404</v>
      </c>
      <c r="AB175">
        <f t="shared" si="12"/>
        <v>8.5106299565869961</v>
      </c>
      <c r="AC175">
        <f t="shared" si="13"/>
        <v>0.45161290322580638</v>
      </c>
      <c r="AD175">
        <f t="shared" si="14"/>
        <v>-6.0000000000002274E-3</v>
      </c>
    </row>
    <row r="176" spans="1:30">
      <c r="A176" s="4">
        <v>149</v>
      </c>
      <c r="B176" s="4" t="s">
        <v>1374</v>
      </c>
      <c r="C176" s="4">
        <v>33</v>
      </c>
      <c r="D176" s="4">
        <v>8</v>
      </c>
      <c r="E176" s="4">
        <v>5</v>
      </c>
      <c r="F176" s="4" t="s">
        <v>1469</v>
      </c>
      <c r="G176" s="4" t="s">
        <v>1526</v>
      </c>
      <c r="H176" s="4">
        <v>2.4</v>
      </c>
      <c r="I176" s="4">
        <v>7.2</v>
      </c>
      <c r="J176" s="4">
        <v>9.6</v>
      </c>
      <c r="K176" s="4">
        <v>42</v>
      </c>
      <c r="L176" s="4">
        <v>31</v>
      </c>
      <c r="M176" s="4">
        <v>119</v>
      </c>
      <c r="N176" s="4">
        <v>111</v>
      </c>
      <c r="O176" s="4">
        <v>3</v>
      </c>
      <c r="P176" s="4">
        <v>65400</v>
      </c>
      <c r="Q176" s="4">
        <v>0.94</v>
      </c>
      <c r="R176" s="4">
        <v>6.1</v>
      </c>
      <c r="S176" s="4">
        <v>18</v>
      </c>
      <c r="T176" s="4">
        <v>0.8</v>
      </c>
      <c r="U176" s="4">
        <v>348</v>
      </c>
      <c r="V176" s="4">
        <v>0.3</v>
      </c>
      <c r="W176" s="4">
        <v>1.4</v>
      </c>
      <c r="X176" s="4">
        <v>3750</v>
      </c>
      <c r="Y176" s="4">
        <v>0.2</v>
      </c>
      <c r="Z176">
        <f t="shared" si="15"/>
        <v>62.5</v>
      </c>
      <c r="AA176">
        <f t="shared" si="11"/>
        <v>3.0827015996667404</v>
      </c>
      <c r="AB176">
        <f t="shared" si="12"/>
        <v>3.6760331559204764</v>
      </c>
      <c r="AC176">
        <f t="shared" si="13"/>
        <v>0.46666666666666662</v>
      </c>
      <c r="AD176">
        <f t="shared" si="14"/>
        <v>-4.5999999999999819E-2</v>
      </c>
    </row>
    <row r="177" spans="1:30">
      <c r="A177" s="4">
        <v>152</v>
      </c>
      <c r="B177" s="4" t="s">
        <v>1422</v>
      </c>
      <c r="C177" s="4">
        <v>33</v>
      </c>
      <c r="D177" s="4">
        <v>9</v>
      </c>
      <c r="E177" s="4">
        <v>5</v>
      </c>
      <c r="F177" s="4" t="s">
        <v>1469</v>
      </c>
      <c r="G177" s="4" t="s">
        <v>1526</v>
      </c>
      <c r="H177" s="4">
        <v>2.8</v>
      </c>
      <c r="I177" s="4">
        <v>7.4</v>
      </c>
      <c r="J177" s="4">
        <v>10.199999999999999</v>
      </c>
      <c r="K177" s="4">
        <v>39</v>
      </c>
      <c r="L177" s="4">
        <v>28</v>
      </c>
      <c r="M177" s="4">
        <v>143</v>
      </c>
      <c r="N177" s="4">
        <v>138</v>
      </c>
      <c r="O177" s="4">
        <v>2.9</v>
      </c>
      <c r="P177" s="4">
        <v>54000</v>
      </c>
      <c r="Q177" s="4">
        <v>1.05</v>
      </c>
      <c r="R177" s="4">
        <v>5.7</v>
      </c>
      <c r="S177" s="4">
        <v>17</v>
      </c>
      <c r="T177" s="4">
        <v>1.3</v>
      </c>
      <c r="U177" s="4">
        <v>331</v>
      </c>
      <c r="V177" s="4">
        <v>0.4</v>
      </c>
      <c r="W177" s="4">
        <v>1.2</v>
      </c>
      <c r="X177" s="4">
        <v>2070</v>
      </c>
      <c r="Y177" s="4">
        <v>0.3</v>
      </c>
      <c r="Z177">
        <f t="shared" si="15"/>
        <v>55.555555555555557</v>
      </c>
      <c r="AA177">
        <f t="shared" si="11"/>
        <v>3.1310609362581405</v>
      </c>
      <c r="AB177">
        <f t="shared" si="12"/>
        <v>3.4929332239802982</v>
      </c>
      <c r="AC177">
        <f t="shared" si="13"/>
        <v>0.41379310344827586</v>
      </c>
      <c r="AD177">
        <f t="shared" si="14"/>
        <v>-4.4000000000000039E-2</v>
      </c>
    </row>
    <row r="178" spans="1:30">
      <c r="A178" s="4">
        <v>153</v>
      </c>
      <c r="B178" s="4" t="s">
        <v>1423</v>
      </c>
      <c r="C178" s="4">
        <v>33</v>
      </c>
      <c r="D178" s="4">
        <v>10</v>
      </c>
      <c r="E178" s="4">
        <v>6</v>
      </c>
      <c r="F178" s="4" t="s">
        <v>1469</v>
      </c>
      <c r="G178" s="4" t="s">
        <v>1526</v>
      </c>
      <c r="H178" s="4">
        <v>3.6</v>
      </c>
      <c r="I178" s="4">
        <v>9.3000000000000007</v>
      </c>
      <c r="J178" s="4">
        <v>12.9</v>
      </c>
      <c r="K178" s="4">
        <v>39</v>
      </c>
      <c r="L178" s="4">
        <v>28</v>
      </c>
      <c r="M178" s="4">
        <v>147</v>
      </c>
      <c r="N178" s="4">
        <v>136</v>
      </c>
      <c r="O178" s="4">
        <v>3.6</v>
      </c>
      <c r="P178" s="4">
        <v>53000</v>
      </c>
      <c r="Q178" s="4">
        <v>0.92</v>
      </c>
      <c r="R178" s="4">
        <v>4.9000000000000004</v>
      </c>
      <c r="S178" s="4">
        <v>18</v>
      </c>
      <c r="T178" s="4">
        <v>1.6</v>
      </c>
      <c r="U178" s="4">
        <v>311</v>
      </c>
      <c r="V178" s="4">
        <v>0.5</v>
      </c>
      <c r="W178" s="4">
        <v>1.5</v>
      </c>
      <c r="X178" s="4">
        <v>2260</v>
      </c>
      <c r="Y178" s="4">
        <v>0.3</v>
      </c>
      <c r="Z178">
        <f t="shared" si="15"/>
        <v>60</v>
      </c>
      <c r="AA178">
        <f t="shared" si="11"/>
        <v>3.0593344585155675</v>
      </c>
      <c r="AB178">
        <f t="shared" si="12"/>
        <v>8.6475138268739311</v>
      </c>
      <c r="AC178">
        <f t="shared" si="13"/>
        <v>0.41666666666666663</v>
      </c>
      <c r="AD178">
        <f t="shared" si="14"/>
        <v>-5.9999999999999609E-2</v>
      </c>
    </row>
    <row r="179" spans="1:30">
      <c r="A179" s="4">
        <v>157</v>
      </c>
      <c r="B179" s="4" t="s">
        <v>1426</v>
      </c>
      <c r="C179" s="4">
        <v>42</v>
      </c>
      <c r="D179" s="4">
        <v>18</v>
      </c>
      <c r="E179" s="4">
        <v>22</v>
      </c>
      <c r="F179" s="4" t="s">
        <v>1469</v>
      </c>
      <c r="G179" s="4" t="s">
        <v>1526</v>
      </c>
      <c r="H179" s="4">
        <v>3.1</v>
      </c>
      <c r="I179" s="4">
        <v>34.6</v>
      </c>
      <c r="J179" s="4">
        <v>37.700000000000003</v>
      </c>
      <c r="K179" s="4">
        <v>34</v>
      </c>
      <c r="L179" s="4">
        <v>31</v>
      </c>
      <c r="M179" s="93" t="s">
        <v>1425</v>
      </c>
      <c r="N179" s="4">
        <v>160</v>
      </c>
      <c r="O179" s="4">
        <v>11.7</v>
      </c>
      <c r="P179" s="4">
        <v>37100</v>
      </c>
      <c r="Q179" s="4">
        <v>1.48</v>
      </c>
      <c r="R179" s="4">
        <v>5.5</v>
      </c>
      <c r="S179" s="4">
        <v>64</v>
      </c>
      <c r="T179" s="4">
        <v>9.4</v>
      </c>
      <c r="U179" s="4">
        <v>423</v>
      </c>
      <c r="V179" s="4">
        <v>4</v>
      </c>
      <c r="W179" s="4">
        <v>4.5</v>
      </c>
      <c r="X179" s="4">
        <v>1240</v>
      </c>
      <c r="Y179" s="4">
        <v>0.9</v>
      </c>
      <c r="Z179">
        <f t="shared" si="15"/>
        <v>122.22222222222223</v>
      </c>
      <c r="AA179">
        <f t="shared" si="11"/>
        <v>2.5231395389279303</v>
      </c>
      <c r="AB179">
        <f t="shared" si="12"/>
        <v>379.34809342007259</v>
      </c>
      <c r="AC179">
        <f t="shared" si="13"/>
        <v>0.38461538461538464</v>
      </c>
      <c r="AD179">
        <f t="shared" si="14"/>
        <v>0</v>
      </c>
    </row>
    <row r="180" spans="1:30">
      <c r="A180" s="4">
        <v>164</v>
      </c>
      <c r="B180" s="4" t="s">
        <v>1432</v>
      </c>
      <c r="C180" s="4">
        <v>65</v>
      </c>
      <c r="D180" s="4">
        <v>23</v>
      </c>
      <c r="E180" s="4">
        <v>24</v>
      </c>
      <c r="F180" s="4" t="s">
        <v>1469</v>
      </c>
      <c r="G180" s="4" t="s">
        <v>1526</v>
      </c>
      <c r="H180" s="4">
        <v>4.5</v>
      </c>
      <c r="I180" s="4">
        <v>41.9</v>
      </c>
      <c r="J180" s="4">
        <v>46.4</v>
      </c>
      <c r="K180" s="4">
        <v>30</v>
      </c>
      <c r="L180" s="4">
        <v>27</v>
      </c>
      <c r="M180" s="4">
        <v>162</v>
      </c>
      <c r="N180" s="4">
        <v>165</v>
      </c>
      <c r="O180" s="4">
        <v>12.7</v>
      </c>
      <c r="P180" s="4">
        <v>35500</v>
      </c>
      <c r="Q180" s="4">
        <v>1.57</v>
      </c>
      <c r="R180" s="4">
        <v>5.6</v>
      </c>
      <c r="S180" s="4">
        <v>71</v>
      </c>
      <c r="T180" s="4">
        <v>15.1</v>
      </c>
      <c r="U180" s="4">
        <v>412</v>
      </c>
      <c r="V180" s="4">
        <v>6.2</v>
      </c>
      <c r="W180" s="4">
        <v>4.8</v>
      </c>
      <c r="X180" s="4">
        <v>840</v>
      </c>
      <c r="Y180" s="4">
        <v>1.3</v>
      </c>
      <c r="Z180">
        <f t="shared" si="15"/>
        <v>104.34782608695652</v>
      </c>
      <c r="AA180">
        <f t="shared" si="11"/>
        <v>2.481715543750072</v>
      </c>
      <c r="AB180">
        <f t="shared" si="12"/>
        <v>463.03656594008731</v>
      </c>
      <c r="AC180">
        <f t="shared" si="13"/>
        <v>0.37795275590551181</v>
      </c>
      <c r="AD180">
        <f t="shared" si="14"/>
        <v>1.9999999999999574E-2</v>
      </c>
    </row>
    <row r="181" spans="1:30">
      <c r="A181" s="4">
        <v>169</v>
      </c>
      <c r="B181" s="7"/>
      <c r="C181" s="4">
        <v>65</v>
      </c>
      <c r="D181" s="4">
        <v>24</v>
      </c>
      <c r="E181" s="4">
        <v>17</v>
      </c>
      <c r="F181" s="4" t="s">
        <v>1469</v>
      </c>
      <c r="G181" s="4" t="s">
        <v>1526</v>
      </c>
      <c r="H181" s="4">
        <v>2.6</v>
      </c>
      <c r="I181" s="4">
        <v>42.4</v>
      </c>
      <c r="J181" s="4">
        <v>45</v>
      </c>
      <c r="K181" s="4">
        <v>29</v>
      </c>
      <c r="L181" s="4">
        <v>27</v>
      </c>
      <c r="M181" s="93" t="s">
        <v>1425</v>
      </c>
      <c r="N181" s="4">
        <v>137</v>
      </c>
      <c r="O181" s="4">
        <v>12.1</v>
      </c>
      <c r="P181" s="4">
        <v>69000</v>
      </c>
      <c r="Q181" s="4">
        <v>0.91</v>
      </c>
      <c r="R181" s="4">
        <v>6.3</v>
      </c>
      <c r="S181" s="4">
        <v>76</v>
      </c>
      <c r="T181" s="4">
        <v>7.4</v>
      </c>
      <c r="U181" s="4" t="s">
        <v>1425</v>
      </c>
      <c r="V181" s="4" t="s">
        <v>1425</v>
      </c>
      <c r="W181" s="4">
        <v>5.0999999999999996</v>
      </c>
      <c r="X181" s="4">
        <v>1640</v>
      </c>
      <c r="Y181" s="4" t="s">
        <v>1425</v>
      </c>
      <c r="Z181">
        <f t="shared" si="15"/>
        <v>70.833333333333329</v>
      </c>
      <c r="AA181">
        <f t="shared" si="11"/>
        <v>2.4418756602109593</v>
      </c>
      <c r="AB181">
        <f t="shared" si="12"/>
        <v>211.93898429275811</v>
      </c>
      <c r="AC181">
        <f t="shared" si="13"/>
        <v>0.42148760330578511</v>
      </c>
      <c r="AD181">
        <f t="shared" si="14"/>
        <v>-1.2999999999999901E-2</v>
      </c>
    </row>
    <row r="182" spans="1:30">
      <c r="A182" s="4">
        <v>174</v>
      </c>
      <c r="B182" s="6" t="s">
        <v>1437</v>
      </c>
      <c r="C182" s="4">
        <v>80</v>
      </c>
      <c r="D182" s="4">
        <v>25</v>
      </c>
      <c r="E182" s="4">
        <v>27</v>
      </c>
      <c r="F182" s="4" t="s">
        <v>1469</v>
      </c>
      <c r="G182" s="4" t="s">
        <v>1526</v>
      </c>
      <c r="H182" s="4">
        <v>6.1</v>
      </c>
      <c r="I182" s="4">
        <v>23.4</v>
      </c>
      <c r="J182" s="4">
        <v>29.5</v>
      </c>
      <c r="K182" s="4">
        <v>31</v>
      </c>
      <c r="L182" s="4">
        <v>24</v>
      </c>
      <c r="M182" s="4">
        <v>134</v>
      </c>
      <c r="N182" s="4">
        <v>148</v>
      </c>
      <c r="O182" s="4">
        <v>7.2</v>
      </c>
      <c r="P182" s="4">
        <v>32000</v>
      </c>
      <c r="Q182" s="4">
        <v>1.64</v>
      </c>
      <c r="R182" s="4">
        <v>5.2</v>
      </c>
      <c r="S182" s="4">
        <v>37</v>
      </c>
      <c r="T182" s="4">
        <v>5.5</v>
      </c>
      <c r="U182" s="4">
        <v>503</v>
      </c>
      <c r="V182" s="4">
        <v>2.8</v>
      </c>
      <c r="W182" s="4">
        <v>2.9</v>
      </c>
      <c r="X182" s="4">
        <v>1310</v>
      </c>
      <c r="Y182" s="4">
        <v>1</v>
      </c>
      <c r="Z182">
        <f t="shared" si="15"/>
        <v>108</v>
      </c>
      <c r="AA182">
        <f t="shared" si="11"/>
        <v>2.7762127313832696</v>
      </c>
      <c r="AB182">
        <f t="shared" si="12"/>
        <v>586.79186963519805</v>
      </c>
      <c r="AC182">
        <f t="shared" si="13"/>
        <v>0.40277777777777773</v>
      </c>
      <c r="AD182">
        <f t="shared" si="14"/>
        <v>-8.0000000000000071E-3</v>
      </c>
    </row>
    <row r="183" spans="1:30">
      <c r="A183" s="4">
        <v>178</v>
      </c>
      <c r="B183" s="4" t="s">
        <v>1439</v>
      </c>
      <c r="C183" s="4">
        <v>81</v>
      </c>
      <c r="D183" s="4">
        <v>24</v>
      </c>
      <c r="E183" s="4">
        <v>21</v>
      </c>
      <c r="F183" s="4" t="s">
        <v>1469</v>
      </c>
      <c r="G183" s="4" t="s">
        <v>1526</v>
      </c>
      <c r="H183" s="4">
        <v>4.4000000000000004</v>
      </c>
      <c r="I183" s="4">
        <v>28.9</v>
      </c>
      <c r="J183" s="4">
        <v>33.299999999999997</v>
      </c>
      <c r="K183" s="4">
        <v>35</v>
      </c>
      <c r="L183" s="4">
        <v>30</v>
      </c>
      <c r="M183" s="4">
        <v>126</v>
      </c>
      <c r="N183" s="4">
        <v>120</v>
      </c>
      <c r="O183" s="4">
        <v>10.1</v>
      </c>
      <c r="P183" s="4">
        <v>44600</v>
      </c>
      <c r="Q183" s="4">
        <v>1.3</v>
      </c>
      <c r="R183" s="4">
        <v>5.8</v>
      </c>
      <c r="S183" s="4">
        <v>59</v>
      </c>
      <c r="T183" s="4">
        <v>4.5</v>
      </c>
      <c r="U183" s="4">
        <v>490</v>
      </c>
      <c r="V183" s="4">
        <v>2.2000000000000002</v>
      </c>
      <c r="W183" s="4">
        <v>4.5999999999999996</v>
      </c>
      <c r="X183" s="4">
        <v>2240</v>
      </c>
      <c r="Y183" s="4">
        <v>0.5</v>
      </c>
      <c r="Z183">
        <f t="shared" si="15"/>
        <v>87.5</v>
      </c>
      <c r="AA183">
        <f t="shared" si="11"/>
        <v>2.5091487576906122</v>
      </c>
      <c r="AB183">
        <f t="shared" si="12"/>
        <v>341.91157966521467</v>
      </c>
      <c r="AC183">
        <f t="shared" si="13"/>
        <v>0.45544554455445541</v>
      </c>
      <c r="AD183">
        <f t="shared" si="14"/>
        <v>1.9999999999999574E-2</v>
      </c>
    </row>
    <row r="184" spans="1:30">
      <c r="A184" s="4">
        <v>182</v>
      </c>
      <c r="B184" s="4" t="s">
        <v>1442</v>
      </c>
      <c r="C184" s="4">
        <v>82</v>
      </c>
      <c r="D184" s="4">
        <v>26</v>
      </c>
      <c r="E184" s="4">
        <v>28</v>
      </c>
      <c r="F184" s="4" t="s">
        <v>1469</v>
      </c>
      <c r="G184" s="4" t="s">
        <v>1526</v>
      </c>
      <c r="H184" s="4">
        <v>6.6</v>
      </c>
      <c r="I184" s="4">
        <v>43.7</v>
      </c>
      <c r="J184" s="4">
        <v>50.3</v>
      </c>
      <c r="K184" s="4">
        <v>30</v>
      </c>
      <c r="L184" s="4">
        <v>26</v>
      </c>
      <c r="M184" s="4">
        <v>134</v>
      </c>
      <c r="N184" s="9">
        <v>136</v>
      </c>
      <c r="O184" s="4">
        <v>13</v>
      </c>
      <c r="P184" s="4">
        <v>23800</v>
      </c>
      <c r="Q184" s="4">
        <v>1.99</v>
      </c>
      <c r="R184" s="4">
        <v>4.7</v>
      </c>
      <c r="S184" s="4">
        <v>61</v>
      </c>
      <c r="T184" s="4">
        <v>11.6</v>
      </c>
      <c r="U184" s="4">
        <v>428</v>
      </c>
      <c r="V184" s="4">
        <v>5.2</v>
      </c>
      <c r="W184" s="4">
        <v>5.5</v>
      </c>
      <c r="X184" s="4">
        <v>1120</v>
      </c>
      <c r="Y184" s="4">
        <v>0.9</v>
      </c>
      <c r="Z184">
        <f t="shared" si="15"/>
        <v>107.69230769230769</v>
      </c>
      <c r="AA184">
        <f t="shared" si="11"/>
        <v>2.3910445693497993</v>
      </c>
      <c r="AB184">
        <f t="shared" si="12"/>
        <v>655.81859824902847</v>
      </c>
      <c r="AC184">
        <f t="shared" si="13"/>
        <v>0.42307692307692307</v>
      </c>
      <c r="AD184">
        <f t="shared" si="14"/>
        <v>-1.9999999999997797E-2</v>
      </c>
    </row>
    <row r="185" spans="1:30">
      <c r="A185" s="4">
        <v>184</v>
      </c>
      <c r="B185" s="7"/>
      <c r="C185" s="4">
        <v>82</v>
      </c>
      <c r="D185" s="4">
        <v>32</v>
      </c>
      <c r="E185" s="4">
        <v>27</v>
      </c>
      <c r="F185" s="4" t="s">
        <v>1469</v>
      </c>
      <c r="G185" s="4" t="s">
        <v>1526</v>
      </c>
      <c r="H185" s="4">
        <v>4.8</v>
      </c>
      <c r="I185" s="4">
        <v>66.2</v>
      </c>
      <c r="J185" s="4">
        <v>71</v>
      </c>
      <c r="K185" s="4">
        <v>24</v>
      </c>
      <c r="L185" s="4">
        <v>22</v>
      </c>
      <c r="M185" s="4">
        <v>147</v>
      </c>
      <c r="N185" s="4">
        <v>164</v>
      </c>
      <c r="O185" s="4">
        <v>15.6</v>
      </c>
      <c r="P185" s="4">
        <v>25700</v>
      </c>
      <c r="Q185" s="4">
        <v>1.93</v>
      </c>
      <c r="R185" s="4">
        <v>5</v>
      </c>
      <c r="S185" s="4">
        <v>78</v>
      </c>
      <c r="T185" s="4">
        <v>13.8</v>
      </c>
      <c r="U185" s="4">
        <v>424</v>
      </c>
      <c r="V185" s="4">
        <v>5.9</v>
      </c>
      <c r="W185" s="4">
        <v>5.9</v>
      </c>
      <c r="X185" s="4">
        <v>1130</v>
      </c>
      <c r="Y185" s="4">
        <v>1</v>
      </c>
      <c r="Z185">
        <f t="shared" si="15"/>
        <v>84.375</v>
      </c>
      <c r="AA185">
        <f t="shared" si="11"/>
        <v>2.3426330497914423</v>
      </c>
      <c r="AB185">
        <f t="shared" si="12"/>
        <v>607.9857449172373</v>
      </c>
      <c r="AC185">
        <f t="shared" si="13"/>
        <v>0.37820512820512825</v>
      </c>
      <c r="AD185">
        <f t="shared" si="14"/>
        <v>-2.4000000000000909E-2</v>
      </c>
    </row>
    <row r="186" spans="1:30">
      <c r="A186" s="4">
        <v>187</v>
      </c>
      <c r="B186" s="7"/>
      <c r="C186" s="4">
        <v>82</v>
      </c>
      <c r="D186" s="4">
        <v>28</v>
      </c>
      <c r="E186" s="4">
        <v>20</v>
      </c>
      <c r="F186" s="4" t="s">
        <v>1469</v>
      </c>
      <c r="G186" s="4" t="s">
        <v>1526</v>
      </c>
      <c r="H186" s="4">
        <v>3.2</v>
      </c>
      <c r="I186" s="4">
        <v>113.7</v>
      </c>
      <c r="J186" s="4">
        <v>116.9</v>
      </c>
      <c r="K186" s="4">
        <v>21</v>
      </c>
      <c r="L186" s="4">
        <v>21</v>
      </c>
      <c r="M186" s="4">
        <v>135</v>
      </c>
      <c r="N186" s="4">
        <v>107</v>
      </c>
      <c r="O186" s="4">
        <v>24.2</v>
      </c>
      <c r="P186" s="4">
        <v>51900</v>
      </c>
      <c r="Q186" s="4">
        <v>1.04</v>
      </c>
      <c r="R186" s="4">
        <v>5.4</v>
      </c>
      <c r="S186" s="4">
        <v>131</v>
      </c>
      <c r="T186" s="4">
        <v>17.3</v>
      </c>
      <c r="U186" s="4">
        <v>430</v>
      </c>
      <c r="V186" s="4">
        <v>7.4</v>
      </c>
      <c r="W186" s="4">
        <v>11.7</v>
      </c>
      <c r="X186" s="4">
        <v>1400</v>
      </c>
      <c r="Y186" s="4">
        <v>0.6</v>
      </c>
      <c r="Z186">
        <f t="shared" si="15"/>
        <v>71.428571428571431</v>
      </c>
      <c r="AA186">
        <f t="shared" si="11"/>
        <v>1.82778445774047</v>
      </c>
      <c r="AB186">
        <f t="shared" si="12"/>
        <v>330.22941771433881</v>
      </c>
      <c r="AC186">
        <f t="shared" si="13"/>
        <v>0.48347107438016529</v>
      </c>
      <c r="AD186">
        <f t="shared" si="14"/>
        <v>1.9000000000001904E-2</v>
      </c>
    </row>
    <row r="187" spans="1:30">
      <c r="A187" s="4">
        <v>192</v>
      </c>
      <c r="B187" s="7"/>
      <c r="C187" s="4">
        <v>83</v>
      </c>
      <c r="D187" s="4">
        <v>38</v>
      </c>
      <c r="E187" s="4">
        <v>30</v>
      </c>
      <c r="F187" s="4" t="s">
        <v>1469</v>
      </c>
      <c r="G187" s="4" t="s">
        <v>1526</v>
      </c>
      <c r="H187" s="4">
        <v>4.2</v>
      </c>
      <c r="I187" s="4">
        <v>108.6</v>
      </c>
      <c r="J187" s="4">
        <v>112.8</v>
      </c>
      <c r="K187" s="4">
        <v>22</v>
      </c>
      <c r="L187" s="4">
        <v>22</v>
      </c>
      <c r="M187" s="4">
        <v>124</v>
      </c>
      <c r="N187" s="4">
        <v>117</v>
      </c>
      <c r="O187" s="4">
        <v>24.3</v>
      </c>
      <c r="P187" s="4">
        <v>29300</v>
      </c>
      <c r="Q187" s="4">
        <v>1.97</v>
      </c>
      <c r="R187" s="4">
        <v>5.8</v>
      </c>
      <c r="S187" s="4">
        <v>141</v>
      </c>
      <c r="T187" s="4">
        <v>18</v>
      </c>
      <c r="U187" s="4">
        <v>440</v>
      </c>
      <c r="V187" s="4">
        <v>7.9</v>
      </c>
      <c r="W187" s="4">
        <v>11.3</v>
      </c>
      <c r="X187" s="4">
        <v>1350</v>
      </c>
      <c r="Y187" s="4">
        <v>0.7</v>
      </c>
      <c r="Z187">
        <f t="shared" si="15"/>
        <v>78.94736842105263</v>
      </c>
      <c r="AA187">
        <f t="shared" si="11"/>
        <v>1.8551031639052742</v>
      </c>
      <c r="AB187">
        <f t="shared" si="12"/>
        <v>792.13521791441497</v>
      </c>
      <c r="AC187">
        <f t="shared" si="13"/>
        <v>0.46502057613168724</v>
      </c>
      <c r="AD187">
        <f t="shared" si="14"/>
        <v>0.22100000000000009</v>
      </c>
    </row>
    <row r="188" spans="1:30">
      <c r="A188" s="4">
        <v>195</v>
      </c>
      <c r="B188" s="4" t="s">
        <v>1446</v>
      </c>
      <c r="C188" s="4">
        <v>85</v>
      </c>
      <c r="D188" s="4">
        <v>35</v>
      </c>
      <c r="E188" s="4">
        <v>29</v>
      </c>
      <c r="F188" s="4" t="s">
        <v>1469</v>
      </c>
      <c r="G188" s="4" t="s">
        <v>1526</v>
      </c>
      <c r="H188" s="4">
        <v>5</v>
      </c>
      <c r="I188" s="4">
        <v>106.5</v>
      </c>
      <c r="J188" s="4">
        <v>111.5</v>
      </c>
      <c r="K188" s="4">
        <v>26</v>
      </c>
      <c r="L188" s="4">
        <v>24</v>
      </c>
      <c r="M188" s="4">
        <v>135</v>
      </c>
      <c r="N188" s="4">
        <v>150</v>
      </c>
      <c r="O188" s="4">
        <v>27.3</v>
      </c>
      <c r="P188" s="4">
        <v>48500</v>
      </c>
      <c r="Q188" s="4">
        <v>1.34</v>
      </c>
      <c r="R188" s="4">
        <v>6.5</v>
      </c>
      <c r="S188" s="4">
        <v>177</v>
      </c>
      <c r="T188" s="4">
        <v>23.2</v>
      </c>
      <c r="U188" s="4">
        <v>427</v>
      </c>
      <c r="V188" s="4">
        <v>9.9</v>
      </c>
      <c r="W188" s="4">
        <v>10.9</v>
      </c>
      <c r="X188" s="4">
        <v>1180</v>
      </c>
      <c r="Y188" s="4">
        <v>0.9</v>
      </c>
      <c r="Z188">
        <f t="shared" si="15"/>
        <v>82.857142857142861</v>
      </c>
      <c r="AA188">
        <f t="shared" si="11"/>
        <v>1.8833522475440183</v>
      </c>
      <c r="AB188">
        <f t="shared" si="12"/>
        <v>735.31258533077607</v>
      </c>
      <c r="AC188">
        <f t="shared" si="13"/>
        <v>0.39926739926739929</v>
      </c>
      <c r="AD188">
        <f t="shared" si="14"/>
        <v>-5.0000000000000711E-2</v>
      </c>
    </row>
    <row r="189" spans="1:30">
      <c r="A189" s="4">
        <v>200</v>
      </c>
      <c r="B189" s="4" t="s">
        <v>1448</v>
      </c>
      <c r="C189" s="4">
        <v>86</v>
      </c>
      <c r="D189" s="4">
        <v>33</v>
      </c>
      <c r="E189" s="4">
        <v>32</v>
      </c>
      <c r="F189" s="4" t="s">
        <v>1469</v>
      </c>
      <c r="G189" s="4" t="s">
        <v>1526</v>
      </c>
      <c r="H189" s="4">
        <v>5.7</v>
      </c>
      <c r="I189" s="4">
        <v>90.1</v>
      </c>
      <c r="J189" s="4">
        <v>101.8</v>
      </c>
      <c r="K189" s="4">
        <v>33</v>
      </c>
      <c r="L189" s="4">
        <v>31</v>
      </c>
      <c r="M189" s="4">
        <v>128</v>
      </c>
      <c r="N189" s="4">
        <v>141</v>
      </c>
      <c r="O189" s="4">
        <v>31.8</v>
      </c>
      <c r="P189" s="4">
        <v>38100</v>
      </c>
      <c r="Q189" s="4">
        <v>1.28</v>
      </c>
      <c r="R189" s="4">
        <v>4.9000000000000004</v>
      </c>
      <c r="S189" s="4">
        <v>156</v>
      </c>
      <c r="T189" s="4">
        <v>21</v>
      </c>
      <c r="U189" s="4">
        <v>499</v>
      </c>
      <c r="V189" s="4">
        <v>10.5</v>
      </c>
      <c r="W189" s="4">
        <v>13.2</v>
      </c>
      <c r="X189" s="4">
        <v>1510</v>
      </c>
      <c r="Y189" s="4">
        <v>0.8</v>
      </c>
      <c r="Z189">
        <f t="shared" si="15"/>
        <v>96.969696969696969</v>
      </c>
      <c r="AA189">
        <f t="shared" si="11"/>
        <v>1.7328417529186468</v>
      </c>
      <c r="AB189">
        <f t="shared" si="12"/>
        <v>916.10086835386483</v>
      </c>
      <c r="AC189">
        <f t="shared" si="13"/>
        <v>0.41509433962264147</v>
      </c>
      <c r="AD189">
        <f t="shared" si="14"/>
        <v>1.2000000000000455E-2</v>
      </c>
    </row>
    <row r="190" spans="1:30">
      <c r="A190" s="4">
        <v>35</v>
      </c>
      <c r="B190" s="4" t="s">
        <v>1369</v>
      </c>
      <c r="C190" s="4">
        <v>20</v>
      </c>
      <c r="D190" s="4">
        <v>7.4</v>
      </c>
      <c r="E190" s="4">
        <v>8.5</v>
      </c>
      <c r="F190" s="4" t="s">
        <v>1469</v>
      </c>
      <c r="G190" s="4" t="s">
        <v>1528</v>
      </c>
      <c r="H190" s="4">
        <v>12.85</v>
      </c>
      <c r="I190" s="4">
        <v>7.1</v>
      </c>
      <c r="J190" s="4">
        <v>19.95</v>
      </c>
      <c r="K190" s="4">
        <v>41</v>
      </c>
      <c r="L190" s="4">
        <v>15</v>
      </c>
      <c r="M190" s="4">
        <v>187</v>
      </c>
      <c r="N190" s="4" t="s">
        <v>1370</v>
      </c>
      <c r="O190" s="4">
        <v>2.9</v>
      </c>
      <c r="P190" s="4">
        <v>26800</v>
      </c>
      <c r="Q190" s="4">
        <v>2.39</v>
      </c>
      <c r="R190" s="4">
        <v>6.4</v>
      </c>
      <c r="S190" s="4">
        <v>19</v>
      </c>
      <c r="T190" s="4">
        <v>2</v>
      </c>
      <c r="U190" s="4">
        <v>336</v>
      </c>
      <c r="V190" s="4">
        <v>0.7</v>
      </c>
      <c r="W190" s="4">
        <v>1.1000000000000001</v>
      </c>
      <c r="X190" s="4">
        <v>1450</v>
      </c>
      <c r="Y190" s="4">
        <v>0.6</v>
      </c>
      <c r="Z190">
        <f t="shared" si="15"/>
        <v>114.86486486486486</v>
      </c>
      <c r="AA190">
        <f t="shared" si="11"/>
        <v>3.1561199957888681</v>
      </c>
      <c r="AB190">
        <f t="shared" si="12"/>
        <v>28.557053499407562</v>
      </c>
      <c r="AC190">
        <f t="shared" si="13"/>
        <v>0.37931034482758624</v>
      </c>
      <c r="AD190" t="e">
        <f t="shared" si="14"/>
        <v>#VALUE!</v>
      </c>
    </row>
    <row r="191" spans="1:30">
      <c r="A191" s="4">
        <v>46</v>
      </c>
      <c r="B191" s="4" t="s">
        <v>1360</v>
      </c>
      <c r="C191" s="4">
        <v>20</v>
      </c>
      <c r="D191" s="4">
        <v>9.8000000000000007</v>
      </c>
      <c r="E191" s="4">
        <v>7</v>
      </c>
      <c r="F191" s="4" t="s">
        <v>1469</v>
      </c>
      <c r="G191" s="4" t="s">
        <v>1528</v>
      </c>
      <c r="H191" s="4">
        <v>5.95</v>
      </c>
      <c r="I191" s="4">
        <v>13.38</v>
      </c>
      <c r="J191" s="4">
        <v>19.329999999999998</v>
      </c>
      <c r="K191" s="4">
        <v>41</v>
      </c>
      <c r="L191" s="4">
        <v>28</v>
      </c>
      <c r="M191" s="4">
        <v>175</v>
      </c>
      <c r="N191" s="4">
        <v>159</v>
      </c>
      <c r="O191" s="4">
        <v>5.44</v>
      </c>
      <c r="P191" s="4">
        <v>41900</v>
      </c>
      <c r="Q191" s="4">
        <v>1.49</v>
      </c>
      <c r="R191" s="4">
        <v>6.2</v>
      </c>
      <c r="S191" s="4">
        <v>34</v>
      </c>
      <c r="T191" s="4">
        <v>3.2</v>
      </c>
      <c r="U191" s="4">
        <v>361</v>
      </c>
      <c r="V191" s="4">
        <v>1.2</v>
      </c>
      <c r="W191" s="4">
        <v>2.1</v>
      </c>
      <c r="X191" s="4">
        <v>1700</v>
      </c>
      <c r="Y191" s="4">
        <v>0.6</v>
      </c>
      <c r="Z191">
        <f t="shared" si="15"/>
        <v>71.428571428571416</v>
      </c>
      <c r="AA191">
        <f t="shared" si="11"/>
        <v>2.9289112803291766</v>
      </c>
      <c r="AB191">
        <f t="shared" si="12"/>
        <v>16.573763363431027</v>
      </c>
      <c r="AC191">
        <f t="shared" si="13"/>
        <v>0.3860294117647059</v>
      </c>
      <c r="AD191">
        <f t="shared" si="14"/>
        <v>-1.000000000000334E-3</v>
      </c>
    </row>
    <row r="192" spans="1:30">
      <c r="A192" s="4">
        <v>64</v>
      </c>
      <c r="B192" s="4" t="s">
        <v>1382</v>
      </c>
      <c r="C192" s="4">
        <v>21</v>
      </c>
      <c r="D192" s="4">
        <v>11.2</v>
      </c>
      <c r="E192" s="4">
        <v>9.4</v>
      </c>
      <c r="F192" s="4" t="s">
        <v>1469</v>
      </c>
      <c r="G192" s="4" t="s">
        <v>1528</v>
      </c>
      <c r="H192" s="4">
        <v>7</v>
      </c>
      <c r="I192" s="4">
        <v>25.2</v>
      </c>
      <c r="J192" s="4">
        <v>32.200000000000003</v>
      </c>
      <c r="K192" s="4">
        <v>44</v>
      </c>
      <c r="L192" s="4">
        <v>35</v>
      </c>
      <c r="M192" s="4">
        <v>172</v>
      </c>
      <c r="N192" s="4">
        <v>171</v>
      </c>
      <c r="O192" s="4">
        <v>11.14</v>
      </c>
      <c r="P192" s="4">
        <v>50300</v>
      </c>
      <c r="Q192" s="4">
        <v>0.92</v>
      </c>
      <c r="R192" s="4">
        <v>4.7</v>
      </c>
      <c r="S192" s="4">
        <v>52</v>
      </c>
      <c r="T192" s="4">
        <v>6.5</v>
      </c>
      <c r="U192" s="4">
        <v>353</v>
      </c>
      <c r="V192" s="4">
        <v>2.2999999999999998</v>
      </c>
      <c r="W192" s="4">
        <v>4.1100000000000003</v>
      </c>
      <c r="X192" s="4">
        <v>1710</v>
      </c>
      <c r="Y192" s="4">
        <v>0.6</v>
      </c>
      <c r="Z192">
        <f t="shared" si="15"/>
        <v>83.928571428571431</v>
      </c>
      <c r="AA192">
        <f t="shared" si="11"/>
        <v>2.579547831969387</v>
      </c>
      <c r="AB192">
        <f t="shared" si="12"/>
        <v>46.518567776393489</v>
      </c>
      <c r="AC192">
        <f t="shared" si="13"/>
        <v>0.36894075403949733</v>
      </c>
      <c r="AD192">
        <f t="shared" si="14"/>
        <v>-1.8999999999991246E-3</v>
      </c>
    </row>
    <row r="193" spans="1:30">
      <c r="A193" s="4">
        <v>74</v>
      </c>
      <c r="B193" s="4" t="s">
        <v>1369</v>
      </c>
      <c r="C193" s="4">
        <v>24</v>
      </c>
      <c r="D193" s="4">
        <v>10.8</v>
      </c>
      <c r="E193" s="4">
        <v>12</v>
      </c>
      <c r="F193" s="4" t="s">
        <v>1469</v>
      </c>
      <c r="G193" s="4" t="s">
        <v>1528</v>
      </c>
      <c r="H193" s="4">
        <v>10.199999999999999</v>
      </c>
      <c r="I193" s="4">
        <v>9.19</v>
      </c>
      <c r="J193" s="4">
        <v>19.39</v>
      </c>
      <c r="K193" s="4">
        <v>31</v>
      </c>
      <c r="L193" s="4">
        <v>15</v>
      </c>
      <c r="M193" s="4">
        <v>180</v>
      </c>
      <c r="N193" s="4">
        <v>156</v>
      </c>
      <c r="O193" s="4">
        <v>2.84</v>
      </c>
      <c r="P193" s="4">
        <v>25000</v>
      </c>
      <c r="Q193" s="4">
        <v>2.19</v>
      </c>
      <c r="R193" s="4">
        <v>5.5</v>
      </c>
      <c r="S193" s="4">
        <v>16</v>
      </c>
      <c r="T193" s="4">
        <v>3.9</v>
      </c>
      <c r="U193" s="4">
        <v>379</v>
      </c>
      <c r="V193" s="4">
        <v>1.5</v>
      </c>
      <c r="W193" s="4">
        <v>1.1100000000000001</v>
      </c>
      <c r="X193" s="4">
        <v>730</v>
      </c>
      <c r="Y193" s="4">
        <v>1.4</v>
      </c>
      <c r="Z193">
        <f t="shared" si="15"/>
        <v>111.1111111111111</v>
      </c>
      <c r="AA193">
        <f t="shared" si="11"/>
        <v>3.1535860542354244</v>
      </c>
      <c r="AB193">
        <f t="shared" si="12"/>
        <v>78.259039699817976</v>
      </c>
      <c r="AC193">
        <f t="shared" si="13"/>
        <v>0.39084507042253525</v>
      </c>
      <c r="AD193">
        <f t="shared" si="14"/>
        <v>1.6000000000002679E-3</v>
      </c>
    </row>
    <row r="194" spans="1:30">
      <c r="A194" s="4">
        <v>97</v>
      </c>
      <c r="B194" s="4" t="s">
        <v>1398</v>
      </c>
      <c r="C194" s="4">
        <v>32</v>
      </c>
      <c r="D194" s="4">
        <v>13</v>
      </c>
      <c r="E194" s="4">
        <v>10</v>
      </c>
      <c r="F194" s="4" t="s">
        <v>1469</v>
      </c>
      <c r="G194" s="4" t="s">
        <v>1528</v>
      </c>
      <c r="H194" s="4">
        <v>5.2</v>
      </c>
      <c r="I194" s="4">
        <v>26.5</v>
      </c>
      <c r="J194" s="4">
        <v>31.7</v>
      </c>
      <c r="K194" s="4">
        <v>33</v>
      </c>
      <c r="L194" s="4">
        <v>28</v>
      </c>
      <c r="M194" s="4">
        <v>150</v>
      </c>
      <c r="N194" s="4">
        <v>175</v>
      </c>
      <c r="O194" s="4">
        <v>8.8000000000000007</v>
      </c>
      <c r="P194" s="4">
        <v>30000</v>
      </c>
      <c r="Q194" s="4">
        <v>1.54</v>
      </c>
      <c r="R194" s="4">
        <v>4.5999999999999996</v>
      </c>
      <c r="S194" s="4">
        <v>40</v>
      </c>
      <c r="T194" s="4">
        <v>5.5</v>
      </c>
      <c r="U194" s="4">
        <v>397</v>
      </c>
      <c r="V194" s="4">
        <v>2.2000000000000002</v>
      </c>
      <c r="W194" s="4">
        <v>3.2</v>
      </c>
      <c r="X194" s="4">
        <v>1600</v>
      </c>
      <c r="Y194" s="4">
        <v>0.7</v>
      </c>
      <c r="Z194">
        <f t="shared" si="15"/>
        <v>76.92307692307692</v>
      </c>
      <c r="AA194">
        <f t="shared" si="11"/>
        <v>2.7240273085005717</v>
      </c>
      <c r="AB194">
        <f t="shared" si="12"/>
        <v>52.939778607445426</v>
      </c>
      <c r="AC194">
        <f t="shared" si="13"/>
        <v>0.36363636363636365</v>
      </c>
      <c r="AD194">
        <f t="shared" si="14"/>
        <v>0</v>
      </c>
    </row>
    <row r="195" spans="1:30">
      <c r="A195" s="4">
        <v>101</v>
      </c>
      <c r="B195" s="4" t="s">
        <v>1342</v>
      </c>
      <c r="C195" s="4">
        <v>32</v>
      </c>
      <c r="D195" s="4">
        <v>15</v>
      </c>
      <c r="E195" s="4">
        <v>13</v>
      </c>
      <c r="F195" s="4" t="s">
        <v>1469</v>
      </c>
      <c r="G195" s="4" t="s">
        <v>1528</v>
      </c>
      <c r="H195" s="4">
        <v>5.8</v>
      </c>
      <c r="I195" s="4">
        <v>19</v>
      </c>
      <c r="J195" s="4">
        <v>24.8</v>
      </c>
      <c r="K195" s="4">
        <v>37</v>
      </c>
      <c r="L195" s="4">
        <v>28</v>
      </c>
      <c r="M195" s="4">
        <v>165</v>
      </c>
      <c r="N195" s="4">
        <v>159</v>
      </c>
      <c r="O195" s="4">
        <v>7</v>
      </c>
      <c r="P195" s="4">
        <v>36000</v>
      </c>
      <c r="Q195" s="4">
        <v>1.45</v>
      </c>
      <c r="R195" s="4">
        <v>5.2</v>
      </c>
      <c r="S195" s="4">
        <v>36</v>
      </c>
      <c r="T195" s="4">
        <v>6.6</v>
      </c>
      <c r="U195" s="4">
        <v>355</v>
      </c>
      <c r="V195" s="4">
        <v>2.2999999999999998</v>
      </c>
      <c r="W195" s="4">
        <v>2.7</v>
      </c>
      <c r="X195" s="4">
        <v>1060</v>
      </c>
      <c r="Y195" s="4">
        <v>0.9</v>
      </c>
      <c r="Z195">
        <f t="shared" si="15"/>
        <v>86.666666666666671</v>
      </c>
      <c r="AA195">
        <f t="shared" si="11"/>
        <v>2.8124399352440728</v>
      </c>
      <c r="AB195">
        <f t="shared" si="12"/>
        <v>103.78638007300981</v>
      </c>
      <c r="AC195">
        <f t="shared" si="13"/>
        <v>0.38571428571428573</v>
      </c>
      <c r="AD195">
        <f t="shared" si="14"/>
        <v>-6.9999999999996732E-3</v>
      </c>
    </row>
    <row r="196" spans="1:30">
      <c r="A196" s="4">
        <v>104</v>
      </c>
      <c r="B196" s="4" t="s">
        <v>1401</v>
      </c>
      <c r="C196" s="4">
        <v>32</v>
      </c>
      <c r="D196" s="4">
        <v>14</v>
      </c>
      <c r="E196" s="4">
        <v>11</v>
      </c>
      <c r="F196" s="4" t="s">
        <v>1469</v>
      </c>
      <c r="G196" s="4" t="s">
        <v>1528</v>
      </c>
      <c r="H196" s="4">
        <v>5</v>
      </c>
      <c r="I196" s="4">
        <v>18.899999999999999</v>
      </c>
      <c r="J196" s="4">
        <v>23.9</v>
      </c>
      <c r="K196" s="4">
        <v>34</v>
      </c>
      <c r="L196" s="4">
        <v>27</v>
      </c>
      <c r="M196" s="4">
        <v>152</v>
      </c>
      <c r="N196" s="4">
        <v>167</v>
      </c>
      <c r="O196" s="4">
        <v>6.4</v>
      </c>
      <c r="P196" s="4">
        <v>45200</v>
      </c>
      <c r="Q196" s="4">
        <v>1.21</v>
      </c>
      <c r="R196" s="4">
        <v>5.5</v>
      </c>
      <c r="S196" s="4">
        <v>35</v>
      </c>
      <c r="T196" s="4">
        <v>6.7</v>
      </c>
      <c r="U196" s="4">
        <v>360</v>
      </c>
      <c r="V196" s="4">
        <v>2.4</v>
      </c>
      <c r="W196" s="4">
        <v>2.4</v>
      </c>
      <c r="X196" s="4">
        <v>960</v>
      </c>
      <c r="Y196" s="4">
        <v>1</v>
      </c>
      <c r="Z196">
        <f t="shared" si="15"/>
        <v>78.571428571428569</v>
      </c>
      <c r="AA196">
        <f t="shared" si="11"/>
        <v>2.8691294422950775</v>
      </c>
      <c r="AB196">
        <f t="shared" si="12"/>
        <v>66.111056026152752</v>
      </c>
      <c r="AC196">
        <f t="shared" si="13"/>
        <v>0.37499999999999994</v>
      </c>
      <c r="AD196">
        <f t="shared" si="14"/>
        <v>7.9999999999991189E-3</v>
      </c>
    </row>
    <row r="197" spans="1:30">
      <c r="A197" s="4">
        <v>121</v>
      </c>
      <c r="B197" s="4" t="s">
        <v>1409</v>
      </c>
      <c r="C197" s="4">
        <v>32</v>
      </c>
      <c r="D197" s="4">
        <v>10</v>
      </c>
      <c r="E197" s="4">
        <v>12</v>
      </c>
      <c r="F197" s="4" t="s">
        <v>1469</v>
      </c>
      <c r="G197" s="4" t="s">
        <v>1528</v>
      </c>
      <c r="H197" s="4">
        <v>11</v>
      </c>
      <c r="I197" s="4">
        <v>8</v>
      </c>
      <c r="J197" s="4">
        <v>19</v>
      </c>
      <c r="K197" s="4">
        <v>41</v>
      </c>
      <c r="L197" s="4">
        <v>17</v>
      </c>
      <c r="M197" s="4">
        <v>159</v>
      </c>
      <c r="N197" s="4">
        <v>154</v>
      </c>
      <c r="O197" s="4">
        <v>3.3</v>
      </c>
      <c r="P197" s="4">
        <v>49000</v>
      </c>
      <c r="Q197" s="4">
        <v>1.23</v>
      </c>
      <c r="R197" s="4">
        <v>6</v>
      </c>
      <c r="S197" s="4">
        <v>20</v>
      </c>
      <c r="T197" s="4">
        <v>2.8</v>
      </c>
      <c r="U197" s="4">
        <v>400</v>
      </c>
      <c r="V197" s="4">
        <v>1.1000000000000001</v>
      </c>
      <c r="W197" s="4">
        <v>1.3</v>
      </c>
      <c r="X197" s="4">
        <v>1180</v>
      </c>
      <c r="Y197" s="4">
        <v>0.8</v>
      </c>
      <c r="Z197">
        <f t="shared" si="15"/>
        <v>120</v>
      </c>
      <c r="AA197">
        <f t="shared" si="11"/>
        <v>3.1066000004799346</v>
      </c>
      <c r="AB197">
        <f t="shared" si="12"/>
        <v>79.092563551463499</v>
      </c>
      <c r="AC197">
        <f t="shared" si="13"/>
        <v>0.39393939393939398</v>
      </c>
      <c r="AD197">
        <f t="shared" si="14"/>
        <v>2.0000000000002238E-3</v>
      </c>
    </row>
    <row r="198" spans="1:30">
      <c r="A198" s="4">
        <v>122</v>
      </c>
      <c r="B198" s="4" t="s">
        <v>1367</v>
      </c>
      <c r="C198" s="4">
        <v>32</v>
      </c>
      <c r="D198" s="4">
        <v>13</v>
      </c>
      <c r="E198" s="4">
        <v>13</v>
      </c>
      <c r="F198" s="4" t="s">
        <v>1469</v>
      </c>
      <c r="G198" s="4" t="s">
        <v>1528</v>
      </c>
      <c r="H198" s="4">
        <v>9.1999999999999993</v>
      </c>
      <c r="I198" s="4">
        <v>14.3</v>
      </c>
      <c r="J198" s="4">
        <v>23.5</v>
      </c>
      <c r="K198" s="4">
        <v>37</v>
      </c>
      <c r="L198" s="4">
        <v>23</v>
      </c>
      <c r="M198" s="4">
        <v>146</v>
      </c>
      <c r="N198" s="4">
        <v>152</v>
      </c>
      <c r="O198" s="4">
        <v>5.3</v>
      </c>
      <c r="P198" s="4">
        <v>36500</v>
      </c>
      <c r="Q198" s="4">
        <v>1.61</v>
      </c>
      <c r="R198" s="4">
        <v>5.9</v>
      </c>
      <c r="S198" s="4">
        <v>31</v>
      </c>
      <c r="T198" s="4">
        <v>4.2</v>
      </c>
      <c r="U198" s="4">
        <v>454</v>
      </c>
      <c r="V198" s="4">
        <v>1.9</v>
      </c>
      <c r="W198" s="4">
        <v>2.1</v>
      </c>
      <c r="X198" s="4">
        <v>1260</v>
      </c>
      <c r="Y198" s="4">
        <v>0.9</v>
      </c>
      <c r="Z198">
        <f t="shared" si="15"/>
        <v>100</v>
      </c>
      <c r="AA198">
        <f t="shared" ref="AA198:AA215" si="16">$AA$3/($AA$4+W198^$AA$5)</f>
        <v>2.9289112803291766</v>
      </c>
      <c r="AB198">
        <f t="shared" ref="AB198:AB215" si="17">(E198-AA198)^2</f>
        <v>101.42682799948092</v>
      </c>
      <c r="AC198">
        <f t="shared" ref="AC198:AC215" si="18">W198/O198</f>
        <v>0.39622641509433965</v>
      </c>
      <c r="AD198">
        <f t="shared" ref="AD198:AD215" si="19">W198*(1+N198/100)-O198</f>
        <v>-7.9999999999991189E-3</v>
      </c>
    </row>
    <row r="199" spans="1:30">
      <c r="A199" s="4">
        <v>140</v>
      </c>
      <c r="B199" s="4" t="s">
        <v>1417</v>
      </c>
      <c r="C199" s="4">
        <v>33</v>
      </c>
      <c r="D199" s="4">
        <v>8</v>
      </c>
      <c r="E199" s="4">
        <v>5</v>
      </c>
      <c r="F199" s="4" t="s">
        <v>1469</v>
      </c>
      <c r="G199" s="4" t="s">
        <v>1528</v>
      </c>
      <c r="H199" s="4">
        <v>3</v>
      </c>
      <c r="I199" s="4">
        <v>3.6</v>
      </c>
      <c r="J199" s="4">
        <v>6.6</v>
      </c>
      <c r="K199" s="4">
        <v>36</v>
      </c>
      <c r="L199" s="4">
        <v>20</v>
      </c>
      <c r="M199" s="4">
        <v>134</v>
      </c>
      <c r="N199" s="4">
        <v>124</v>
      </c>
      <c r="O199" s="4">
        <v>1.3</v>
      </c>
      <c r="P199" s="4">
        <v>59300</v>
      </c>
      <c r="Q199" s="4">
        <v>0.9</v>
      </c>
      <c r="R199" s="4">
        <v>5.3</v>
      </c>
      <c r="S199" s="4">
        <v>7</v>
      </c>
      <c r="T199" s="4">
        <v>0.5</v>
      </c>
      <c r="U199" s="4">
        <v>350</v>
      </c>
      <c r="V199" s="4">
        <v>0.2</v>
      </c>
      <c r="W199" s="4">
        <v>0.6</v>
      </c>
      <c r="X199" s="4">
        <v>2420</v>
      </c>
      <c r="Y199" s="4">
        <v>0.3</v>
      </c>
      <c r="Z199">
        <f t="shared" ref="Z199:Z215" si="20">E199*100/D199</f>
        <v>62.5</v>
      </c>
      <c r="AA199">
        <f t="shared" si="16"/>
        <v>3.2921204167561968</v>
      </c>
      <c r="AB199">
        <f t="shared" si="17"/>
        <v>2.9168526708610267</v>
      </c>
      <c r="AC199">
        <f t="shared" si="18"/>
        <v>0.46153846153846151</v>
      </c>
      <c r="AD199">
        <f t="shared" si="19"/>
        <v>4.4000000000000039E-2</v>
      </c>
    </row>
    <row r="200" spans="1:30">
      <c r="A200" s="4">
        <v>145</v>
      </c>
      <c r="B200" s="4" t="s">
        <v>1360</v>
      </c>
      <c r="C200" s="4">
        <v>33</v>
      </c>
      <c r="D200" s="4">
        <v>10</v>
      </c>
      <c r="E200" s="4">
        <v>5</v>
      </c>
      <c r="F200" s="4" t="s">
        <v>1469</v>
      </c>
      <c r="G200" s="4" t="s">
        <v>1528</v>
      </c>
      <c r="H200" s="4">
        <v>3.3</v>
      </c>
      <c r="I200" s="4">
        <v>11.9</v>
      </c>
      <c r="J200" s="4">
        <v>15.2</v>
      </c>
      <c r="K200" s="4">
        <v>40</v>
      </c>
      <c r="L200" s="4">
        <v>32</v>
      </c>
      <c r="M200" s="4">
        <v>128</v>
      </c>
      <c r="N200" s="4">
        <v>129</v>
      </c>
      <c r="O200" s="4">
        <v>4.8</v>
      </c>
      <c r="P200" s="4">
        <v>60600</v>
      </c>
      <c r="Q200" s="4">
        <v>0.98</v>
      </c>
      <c r="R200" s="4">
        <v>5.9</v>
      </c>
      <c r="S200" s="4">
        <v>28</v>
      </c>
      <c r="T200" s="4">
        <v>1.4</v>
      </c>
      <c r="U200" s="4">
        <v>349</v>
      </c>
      <c r="V200" s="4">
        <v>0.5</v>
      </c>
      <c r="W200" s="4">
        <v>2.1</v>
      </c>
      <c r="X200" s="4">
        <v>3370</v>
      </c>
      <c r="Y200" s="4">
        <v>0.2</v>
      </c>
      <c r="Z200">
        <f t="shared" si="20"/>
        <v>50</v>
      </c>
      <c r="AA200">
        <f t="shared" si="16"/>
        <v>2.9289112803291766</v>
      </c>
      <c r="AB200">
        <f t="shared" si="17"/>
        <v>4.2894084847477307</v>
      </c>
      <c r="AC200">
        <f t="shared" si="18"/>
        <v>0.43750000000000006</v>
      </c>
      <c r="AD200">
        <f t="shared" si="19"/>
        <v>9.0000000000003411E-3</v>
      </c>
    </row>
    <row r="201" spans="1:30">
      <c r="A201" s="4">
        <v>156</v>
      </c>
      <c r="B201" s="6" t="s">
        <v>1424</v>
      </c>
      <c r="C201" s="4">
        <v>42</v>
      </c>
      <c r="D201" s="4">
        <v>16</v>
      </c>
      <c r="E201" s="4">
        <v>21</v>
      </c>
      <c r="F201" s="4" t="s">
        <v>1469</v>
      </c>
      <c r="G201" s="4" t="s">
        <v>1528</v>
      </c>
      <c r="H201" s="4">
        <v>5.8</v>
      </c>
      <c r="I201" s="4">
        <v>30.7</v>
      </c>
      <c r="J201" s="4">
        <v>36.5</v>
      </c>
      <c r="K201" s="4">
        <v>28</v>
      </c>
      <c r="L201" s="4">
        <v>24</v>
      </c>
      <c r="M201" s="93" t="s">
        <v>1425</v>
      </c>
      <c r="N201" s="4">
        <v>167</v>
      </c>
      <c r="O201" s="4">
        <v>8.8000000000000007</v>
      </c>
      <c r="P201" s="4">
        <v>38200</v>
      </c>
      <c r="Q201" s="4">
        <v>1.39</v>
      </c>
      <c r="R201" s="4">
        <v>5.3</v>
      </c>
      <c r="S201" s="4">
        <v>47</v>
      </c>
      <c r="T201" s="4">
        <v>11</v>
      </c>
      <c r="U201" s="4">
        <v>406</v>
      </c>
      <c r="V201" s="4">
        <v>4.5</v>
      </c>
      <c r="W201" s="4">
        <v>3.3</v>
      </c>
      <c r="X201" s="4">
        <v>800</v>
      </c>
      <c r="Y201" s="4">
        <v>1.4</v>
      </c>
      <c r="Z201">
        <f t="shared" si="20"/>
        <v>131.25</v>
      </c>
      <c r="AA201">
        <f t="shared" si="16"/>
        <v>2.7071728248329281</v>
      </c>
      <c r="AB201">
        <f t="shared" si="17"/>
        <v>334.62752606053095</v>
      </c>
      <c r="AC201">
        <f t="shared" si="18"/>
        <v>0.37499999999999994</v>
      </c>
      <c r="AD201">
        <f t="shared" si="19"/>
        <v>1.0999999999999233E-2</v>
      </c>
    </row>
    <row r="202" spans="1:30">
      <c r="A202" s="4">
        <v>171</v>
      </c>
      <c r="B202" s="4" t="s">
        <v>1435</v>
      </c>
      <c r="C202" s="4">
        <v>70</v>
      </c>
      <c r="D202" s="4">
        <v>28</v>
      </c>
      <c r="E202" s="4">
        <v>26</v>
      </c>
      <c r="F202" s="4" t="s">
        <v>1469</v>
      </c>
      <c r="G202" s="4" t="s">
        <v>1528</v>
      </c>
      <c r="H202" s="4">
        <v>5.0999999999999996</v>
      </c>
      <c r="I202" s="4">
        <v>53.7</v>
      </c>
      <c r="J202" s="4">
        <v>58.8</v>
      </c>
      <c r="K202" s="4">
        <v>25</v>
      </c>
      <c r="L202" s="4">
        <v>23</v>
      </c>
      <c r="M202" s="4">
        <v>132</v>
      </c>
      <c r="N202" s="4">
        <v>144</v>
      </c>
      <c r="O202" s="4">
        <v>13.4</v>
      </c>
      <c r="P202" s="4">
        <v>38600</v>
      </c>
      <c r="Q202" s="4">
        <v>1.46</v>
      </c>
      <c r="R202" s="4">
        <v>5.6</v>
      </c>
      <c r="S202" s="4">
        <v>75</v>
      </c>
      <c r="T202" s="4">
        <v>14.2</v>
      </c>
      <c r="U202" s="4">
        <v>450</v>
      </c>
      <c r="V202" s="4">
        <v>6.4</v>
      </c>
      <c r="W202" s="4">
        <v>5.5</v>
      </c>
      <c r="X202" s="4">
        <v>940</v>
      </c>
      <c r="Y202" s="4">
        <v>1.2</v>
      </c>
      <c r="Z202">
        <f t="shared" si="20"/>
        <v>92.857142857142861</v>
      </c>
      <c r="AA202">
        <f t="shared" si="16"/>
        <v>2.3910445693497993</v>
      </c>
      <c r="AB202">
        <f t="shared" si="17"/>
        <v>557.38277652642762</v>
      </c>
      <c r="AC202">
        <f t="shared" si="18"/>
        <v>0.41044776119402981</v>
      </c>
      <c r="AD202">
        <f t="shared" si="19"/>
        <v>1.9999999999999574E-2</v>
      </c>
    </row>
    <row r="203" spans="1:30">
      <c r="A203" s="4">
        <v>181</v>
      </c>
      <c r="B203" s="4" t="s">
        <v>1441</v>
      </c>
      <c r="C203" s="4">
        <v>82</v>
      </c>
      <c r="D203" s="4">
        <v>23</v>
      </c>
      <c r="E203" s="4">
        <v>26</v>
      </c>
      <c r="F203" s="4" t="s">
        <v>1469</v>
      </c>
      <c r="G203" s="4" t="s">
        <v>1528</v>
      </c>
      <c r="H203" s="4">
        <v>6.7</v>
      </c>
      <c r="I203" s="4">
        <v>15.3</v>
      </c>
      <c r="J203" s="4">
        <v>22</v>
      </c>
      <c r="K203" s="4">
        <v>29</v>
      </c>
      <c r="L203" s="4">
        <v>20</v>
      </c>
      <c r="M203" s="4">
        <v>155</v>
      </c>
      <c r="N203" s="4">
        <v>165</v>
      </c>
      <c r="O203" s="4">
        <v>4.5</v>
      </c>
      <c r="P203" s="4">
        <v>24200</v>
      </c>
      <c r="Q203" s="4">
        <v>1.9</v>
      </c>
      <c r="R203" s="4">
        <v>4.5999999999999996</v>
      </c>
      <c r="S203" s="4">
        <v>21</v>
      </c>
      <c r="T203" s="4">
        <v>2.8</v>
      </c>
      <c r="U203" s="4">
        <v>426</v>
      </c>
      <c r="V203" s="4">
        <v>1.2</v>
      </c>
      <c r="W203" s="4">
        <v>1.7</v>
      </c>
      <c r="X203" s="4">
        <v>1610</v>
      </c>
      <c r="Y203" s="4">
        <v>0.7</v>
      </c>
      <c r="Z203">
        <f t="shared" si="20"/>
        <v>113.04347826086956</v>
      </c>
      <c r="AA203">
        <f t="shared" si="16"/>
        <v>3.0140857523835849</v>
      </c>
      <c r="AB203">
        <f t="shared" si="17"/>
        <v>528.35225379877522</v>
      </c>
      <c r="AC203">
        <f t="shared" si="18"/>
        <v>0.37777777777777777</v>
      </c>
      <c r="AD203">
        <f t="shared" si="19"/>
        <v>4.9999999999998934E-3</v>
      </c>
    </row>
    <row r="204" spans="1:30">
      <c r="A204" s="4">
        <v>42</v>
      </c>
      <c r="B204" s="4" t="s">
        <v>1374</v>
      </c>
      <c r="C204" s="4">
        <v>20</v>
      </c>
      <c r="D204" s="4">
        <v>8.1999999999999993</v>
      </c>
      <c r="E204" s="4">
        <v>6.2</v>
      </c>
      <c r="F204" s="4" t="s">
        <v>1469</v>
      </c>
      <c r="G204" s="4" t="s">
        <v>1524</v>
      </c>
      <c r="H204" s="4">
        <v>5.05</v>
      </c>
      <c r="I204" s="4">
        <v>9.9499999999999993</v>
      </c>
      <c r="J204" s="4">
        <v>15</v>
      </c>
      <c r="K204" s="4">
        <v>38</v>
      </c>
      <c r="L204" s="4">
        <v>25</v>
      </c>
      <c r="M204" s="4">
        <v>173</v>
      </c>
      <c r="N204" s="4" t="s">
        <v>1373</v>
      </c>
      <c r="O204" s="4">
        <v>3.78</v>
      </c>
      <c r="P204" s="4">
        <v>40800</v>
      </c>
      <c r="Q204" s="4">
        <v>1.38</v>
      </c>
      <c r="R204" s="4">
        <v>5.6</v>
      </c>
      <c r="S204" s="4">
        <v>21</v>
      </c>
      <c r="T204" s="4">
        <v>2.8</v>
      </c>
      <c r="U204" s="4">
        <v>350</v>
      </c>
      <c r="V204" s="4">
        <v>1</v>
      </c>
      <c r="W204" s="4">
        <v>1.47</v>
      </c>
      <c r="X204" s="4">
        <v>1350</v>
      </c>
      <c r="Y204" s="4">
        <v>0.7</v>
      </c>
      <c r="Z204">
        <f t="shared" si="20"/>
        <v>75.609756097560975</v>
      </c>
      <c r="AA204">
        <f t="shared" si="16"/>
        <v>3.0662905317743792</v>
      </c>
      <c r="AB204">
        <f t="shared" si="17"/>
        <v>9.8201350312469042</v>
      </c>
      <c r="AC204">
        <f t="shared" si="18"/>
        <v>0.3888888888888889</v>
      </c>
      <c r="AD204" t="e">
        <f t="shared" si="19"/>
        <v>#VALUE!</v>
      </c>
    </row>
    <row r="205" spans="1:30">
      <c r="A205" s="4">
        <v>92</v>
      </c>
      <c r="B205" s="4" t="s">
        <v>1395</v>
      </c>
      <c r="C205" s="4">
        <v>28</v>
      </c>
      <c r="D205" s="4">
        <v>13.8</v>
      </c>
      <c r="E205" s="4">
        <v>14.2</v>
      </c>
      <c r="F205" s="4" t="s">
        <v>1469</v>
      </c>
      <c r="G205" s="4" t="s">
        <v>1524</v>
      </c>
      <c r="H205" s="4">
        <v>7.6</v>
      </c>
      <c r="I205" s="4">
        <v>12.85</v>
      </c>
      <c r="J205" s="4">
        <v>20.45</v>
      </c>
      <c r="K205" s="4">
        <v>44</v>
      </c>
      <c r="L205" s="4">
        <v>28</v>
      </c>
      <c r="M205" s="4">
        <v>175</v>
      </c>
      <c r="N205" s="4">
        <v>164</v>
      </c>
      <c r="O205" s="4">
        <v>5.67</v>
      </c>
      <c r="P205" s="4">
        <v>23400</v>
      </c>
      <c r="Q205" s="4">
        <v>2.25</v>
      </c>
      <c r="R205" s="4">
        <v>5.3</v>
      </c>
      <c r="S205" s="4">
        <v>30</v>
      </c>
      <c r="T205" s="4">
        <v>8.9</v>
      </c>
      <c r="U205" s="4">
        <v>370</v>
      </c>
      <c r="V205" s="4">
        <v>3.3</v>
      </c>
      <c r="W205" s="4">
        <v>2.15</v>
      </c>
      <c r="X205" s="4">
        <v>640</v>
      </c>
      <c r="Y205" s="4">
        <v>1.5</v>
      </c>
      <c r="Z205">
        <f t="shared" si="20"/>
        <v>102.89855072463767</v>
      </c>
      <c r="AA205">
        <f t="shared" si="16"/>
        <v>2.9187181388584862</v>
      </c>
      <c r="AB205">
        <f t="shared" si="17"/>
        <v>127.26732043052053</v>
      </c>
      <c r="AC205">
        <f t="shared" si="18"/>
        <v>0.37918871252204583</v>
      </c>
      <c r="AD205">
        <f t="shared" si="19"/>
        <v>5.9999999999993392E-3</v>
      </c>
    </row>
    <row r="206" spans="1:30">
      <c r="A206" s="4">
        <v>204</v>
      </c>
      <c r="B206" s="4" t="s">
        <v>1451</v>
      </c>
      <c r="C206" s="4">
        <v>97</v>
      </c>
      <c r="D206" s="4">
        <v>36</v>
      </c>
      <c r="E206" s="4">
        <v>32</v>
      </c>
      <c r="F206" s="4" t="s">
        <v>1469</v>
      </c>
      <c r="G206" s="4" t="s">
        <v>1524</v>
      </c>
      <c r="H206" s="4">
        <v>4</v>
      </c>
      <c r="I206" s="4">
        <v>100.9</v>
      </c>
      <c r="J206" s="4">
        <v>104.9</v>
      </c>
      <c r="K206" s="4">
        <v>28</v>
      </c>
      <c r="L206" s="4">
        <v>27</v>
      </c>
      <c r="M206" s="4">
        <v>127</v>
      </c>
      <c r="N206" s="4">
        <v>141</v>
      </c>
      <c r="O206" s="4">
        <v>28.2</v>
      </c>
      <c r="P206" s="4">
        <v>29100</v>
      </c>
      <c r="Q206" s="4">
        <v>1.88</v>
      </c>
      <c r="R206" s="4">
        <v>5.5</v>
      </c>
      <c r="S206" s="4">
        <v>155</v>
      </c>
      <c r="T206" s="4">
        <v>19.899999999999999</v>
      </c>
      <c r="U206" s="4">
        <v>422</v>
      </c>
      <c r="V206" s="4">
        <v>8.4</v>
      </c>
      <c r="W206" s="4">
        <v>11.7</v>
      </c>
      <c r="X206" s="4">
        <v>1420</v>
      </c>
      <c r="Y206" s="4">
        <v>0.7</v>
      </c>
      <c r="Z206">
        <f t="shared" si="20"/>
        <v>88.888888888888886</v>
      </c>
      <c r="AA206">
        <f t="shared" si="16"/>
        <v>1.82778445774047</v>
      </c>
      <c r="AB206">
        <f t="shared" si="17"/>
        <v>910.36259072856751</v>
      </c>
      <c r="AC206">
        <f t="shared" si="18"/>
        <v>0.41489361702127658</v>
      </c>
      <c r="AD206">
        <f t="shared" si="19"/>
        <v>-3.0000000000001137E-3</v>
      </c>
    </row>
    <row r="207" spans="1:30">
      <c r="A207" s="4">
        <v>68</v>
      </c>
      <c r="B207" s="4" t="s">
        <v>1386</v>
      </c>
      <c r="C207" s="4">
        <v>24</v>
      </c>
      <c r="D207" s="4">
        <v>9.6</v>
      </c>
      <c r="E207" s="4">
        <v>9</v>
      </c>
      <c r="F207" s="4" t="s">
        <v>1469</v>
      </c>
      <c r="G207" s="4" t="s">
        <v>1525</v>
      </c>
      <c r="H207" s="4">
        <v>5.2</v>
      </c>
      <c r="I207" s="4">
        <v>13.62</v>
      </c>
      <c r="J207" s="4">
        <v>18.82</v>
      </c>
      <c r="K207" s="4">
        <v>35</v>
      </c>
      <c r="L207" s="4">
        <v>26</v>
      </c>
      <c r="M207" s="4">
        <v>154</v>
      </c>
      <c r="N207" s="4">
        <v>142</v>
      </c>
      <c r="O207" s="4">
        <v>4.82</v>
      </c>
      <c r="P207" s="4">
        <v>36100</v>
      </c>
      <c r="Q207" s="4">
        <v>1.52</v>
      </c>
      <c r="R207" s="4">
        <v>5.5</v>
      </c>
      <c r="S207" s="4">
        <v>27</v>
      </c>
      <c r="T207" s="4">
        <v>3.3</v>
      </c>
      <c r="U207" s="4">
        <v>393</v>
      </c>
      <c r="V207" s="4">
        <v>1.3</v>
      </c>
      <c r="W207" s="4">
        <v>1.99</v>
      </c>
      <c r="X207" s="4">
        <v>1460</v>
      </c>
      <c r="Y207" s="4">
        <v>0.7</v>
      </c>
      <c r="Z207">
        <f t="shared" si="20"/>
        <v>93.75</v>
      </c>
      <c r="AA207">
        <f t="shared" si="16"/>
        <v>2.9516768543886132</v>
      </c>
      <c r="AB207">
        <f t="shared" si="17"/>
        <v>36.58221287373842</v>
      </c>
      <c r="AC207">
        <f t="shared" si="18"/>
        <v>0.41286307053941906</v>
      </c>
      <c r="AD207">
        <f t="shared" si="19"/>
        <v>-4.2000000000008697E-3</v>
      </c>
    </row>
    <row r="208" spans="1:30">
      <c r="A208" s="4">
        <v>109</v>
      </c>
      <c r="B208" s="4" t="s">
        <v>1395</v>
      </c>
      <c r="C208" s="4">
        <v>32</v>
      </c>
      <c r="D208" s="4">
        <v>14</v>
      </c>
      <c r="E208" s="4">
        <v>12</v>
      </c>
      <c r="F208" s="4" t="s">
        <v>1469</v>
      </c>
      <c r="G208" s="4" t="s">
        <v>1525</v>
      </c>
      <c r="H208" s="4">
        <v>6.6</v>
      </c>
      <c r="I208" s="4">
        <v>16.2</v>
      </c>
      <c r="J208" s="4">
        <v>22.8</v>
      </c>
      <c r="K208" s="4">
        <v>43</v>
      </c>
      <c r="L208" s="4">
        <v>31</v>
      </c>
      <c r="M208" s="4">
        <v>158</v>
      </c>
      <c r="N208" s="4">
        <v>150</v>
      </c>
      <c r="O208" s="4">
        <v>7</v>
      </c>
      <c r="P208" s="4">
        <v>39300</v>
      </c>
      <c r="Q208" s="4">
        <v>1.47</v>
      </c>
      <c r="R208" s="4">
        <v>5.8</v>
      </c>
      <c r="S208" s="4">
        <v>41</v>
      </c>
      <c r="T208" s="4">
        <v>7.3</v>
      </c>
      <c r="U208" s="4">
        <v>345</v>
      </c>
      <c r="V208" s="4">
        <v>2.5</v>
      </c>
      <c r="W208" s="4">
        <v>2.8</v>
      </c>
      <c r="X208" s="4">
        <v>960</v>
      </c>
      <c r="Y208" s="4">
        <v>0.9</v>
      </c>
      <c r="Z208">
        <f t="shared" si="20"/>
        <v>85.714285714285708</v>
      </c>
      <c r="AA208">
        <f t="shared" si="16"/>
        <v>2.794176564725452</v>
      </c>
      <c r="AB208">
        <f t="shared" si="17"/>
        <v>84.747185121450073</v>
      </c>
      <c r="AC208">
        <f t="shared" si="18"/>
        <v>0.39999999999999997</v>
      </c>
      <c r="AD208">
        <f t="shared" si="19"/>
        <v>0</v>
      </c>
    </row>
    <row r="209" spans="1:33">
      <c r="A209" s="4">
        <v>114</v>
      </c>
      <c r="B209" s="4" t="s">
        <v>1406</v>
      </c>
      <c r="C209" s="4">
        <v>32</v>
      </c>
      <c r="D209" s="4">
        <v>13</v>
      </c>
      <c r="E209" s="4">
        <v>10</v>
      </c>
      <c r="F209" s="4" t="s">
        <v>1469</v>
      </c>
      <c r="G209" s="4" t="s">
        <v>1525</v>
      </c>
      <c r="H209" s="4">
        <v>5.5</v>
      </c>
      <c r="I209" s="4">
        <v>12.5</v>
      </c>
      <c r="J209" s="4">
        <v>18</v>
      </c>
      <c r="K209" s="4">
        <v>31</v>
      </c>
      <c r="L209" s="4">
        <v>22</v>
      </c>
      <c r="M209" s="4">
        <v>150</v>
      </c>
      <c r="N209" s="4">
        <v>144</v>
      </c>
      <c r="O209" s="4">
        <v>3.9</v>
      </c>
      <c r="P209" s="4">
        <v>52400</v>
      </c>
      <c r="Q209" s="4">
        <v>1.33</v>
      </c>
      <c r="R209" s="4">
        <v>7</v>
      </c>
      <c r="S209" s="4">
        <v>27</v>
      </c>
      <c r="T209" s="4">
        <v>3.6</v>
      </c>
      <c r="U209" s="4">
        <v>348</v>
      </c>
      <c r="V209" s="4">
        <v>1.3</v>
      </c>
      <c r="W209" s="4">
        <v>1.6</v>
      </c>
      <c r="X209" s="4">
        <v>1080</v>
      </c>
      <c r="Y209" s="4">
        <v>0.8</v>
      </c>
      <c r="Z209">
        <f t="shared" si="20"/>
        <v>76.92307692307692</v>
      </c>
      <c r="AA209">
        <f t="shared" si="16"/>
        <v>3.0364708038842374</v>
      </c>
      <c r="AB209">
        <f t="shared" si="17"/>
        <v>48.490738865156644</v>
      </c>
      <c r="AC209">
        <f t="shared" si="18"/>
        <v>0.4102564102564103</v>
      </c>
      <c r="AD209">
        <f t="shared" si="19"/>
        <v>4.0000000000000036E-3</v>
      </c>
    </row>
    <row r="210" spans="1:33">
      <c r="A210" s="4">
        <v>175</v>
      </c>
      <c r="B210" s="4" t="s">
        <v>1438</v>
      </c>
      <c r="C210" s="4">
        <v>80</v>
      </c>
      <c r="D210" s="4">
        <v>29</v>
      </c>
      <c r="E210" s="4">
        <v>29</v>
      </c>
      <c r="F210" s="4" t="s">
        <v>1469</v>
      </c>
      <c r="G210" s="4" t="s">
        <v>1525</v>
      </c>
      <c r="H210" s="4">
        <v>4.5</v>
      </c>
      <c r="I210" s="4">
        <v>50.1</v>
      </c>
      <c r="J210" s="4">
        <v>54.6</v>
      </c>
      <c r="K210" s="4">
        <v>28</v>
      </c>
      <c r="L210" s="4">
        <v>26</v>
      </c>
      <c r="M210" s="4">
        <v>138</v>
      </c>
      <c r="N210" s="4">
        <v>155</v>
      </c>
      <c r="O210" s="4">
        <v>14</v>
      </c>
      <c r="P210" s="4">
        <v>34900</v>
      </c>
      <c r="Q210" s="4">
        <v>1.54</v>
      </c>
      <c r="R210" s="4">
        <v>5.4</v>
      </c>
      <c r="S210" s="4">
        <v>76</v>
      </c>
      <c r="T210" s="4">
        <v>11.4</v>
      </c>
      <c r="U210" s="4">
        <v>487</v>
      </c>
      <c r="V210" s="4">
        <v>5.6</v>
      </c>
      <c r="W210" s="4">
        <v>5.5</v>
      </c>
      <c r="X210" s="4">
        <v>1230</v>
      </c>
      <c r="Y210" s="4">
        <v>1</v>
      </c>
      <c r="Z210">
        <f t="shared" si="20"/>
        <v>100</v>
      </c>
      <c r="AA210">
        <f t="shared" si="16"/>
        <v>2.3910445693497993</v>
      </c>
      <c r="AB210">
        <f t="shared" si="17"/>
        <v>708.03650911032889</v>
      </c>
      <c r="AC210">
        <f t="shared" si="18"/>
        <v>0.39285714285714285</v>
      </c>
      <c r="AD210">
        <f t="shared" si="19"/>
        <v>2.4999999999998579E-2</v>
      </c>
    </row>
    <row r="211" spans="1:33">
      <c r="A211" s="4">
        <v>183</v>
      </c>
      <c r="B211" s="7"/>
      <c r="C211" s="4">
        <v>82</v>
      </c>
      <c r="D211" s="4">
        <v>29</v>
      </c>
      <c r="E211" s="4">
        <v>27</v>
      </c>
      <c r="F211" s="4" t="s">
        <v>1469</v>
      </c>
      <c r="G211" s="4" t="s">
        <v>1525</v>
      </c>
      <c r="H211" s="4">
        <v>4.8</v>
      </c>
      <c r="I211" s="4">
        <v>52</v>
      </c>
      <c r="J211" s="4">
        <v>56.8</v>
      </c>
      <c r="K211" s="4">
        <v>31</v>
      </c>
      <c r="L211" s="4">
        <v>28</v>
      </c>
      <c r="M211" s="4">
        <v>138</v>
      </c>
      <c r="N211" s="9">
        <v>167</v>
      </c>
      <c r="O211" s="4">
        <v>16</v>
      </c>
      <c r="P211" s="4">
        <v>32300</v>
      </c>
      <c r="Q211" s="4">
        <v>1.71</v>
      </c>
      <c r="R211" s="4">
        <v>5.5</v>
      </c>
      <c r="S211" s="4">
        <v>88</v>
      </c>
      <c r="T211" s="4">
        <v>16.600000000000001</v>
      </c>
      <c r="U211" s="4">
        <v>438</v>
      </c>
      <c r="V211" s="4">
        <v>7.3</v>
      </c>
      <c r="W211" s="4">
        <v>6</v>
      </c>
      <c r="X211" s="4">
        <v>960</v>
      </c>
      <c r="Y211" s="4">
        <v>1.2</v>
      </c>
      <c r="Z211">
        <f t="shared" si="20"/>
        <v>93.103448275862064</v>
      </c>
      <c r="AA211">
        <f t="shared" si="16"/>
        <v>2.3308854665574543</v>
      </c>
      <c r="AB211">
        <f t="shared" si="17"/>
        <v>608.56521186410623</v>
      </c>
      <c r="AC211">
        <f t="shared" si="18"/>
        <v>0.375</v>
      </c>
      <c r="AD211">
        <f t="shared" si="19"/>
        <v>1.9999999999999574E-2</v>
      </c>
    </row>
    <row r="212" spans="1:33">
      <c r="A212" s="4">
        <v>191</v>
      </c>
      <c r="B212" s="4" t="s">
        <v>1445</v>
      </c>
      <c r="C212" s="4">
        <v>83</v>
      </c>
      <c r="D212" s="4">
        <v>36</v>
      </c>
      <c r="E212" s="4">
        <v>30</v>
      </c>
      <c r="F212" s="4" t="s">
        <v>1469</v>
      </c>
      <c r="G212" s="4" t="s">
        <v>1525</v>
      </c>
      <c r="H212" s="4">
        <v>3.5</v>
      </c>
      <c r="I212" s="4">
        <v>112.3</v>
      </c>
      <c r="J212" s="4">
        <v>115.8</v>
      </c>
      <c r="K212" s="4">
        <v>23</v>
      </c>
      <c r="L212" s="4">
        <v>22</v>
      </c>
      <c r="M212" s="4">
        <v>127</v>
      </c>
      <c r="N212" s="4">
        <v>126</v>
      </c>
      <c r="O212" s="4">
        <v>26</v>
      </c>
      <c r="P212" s="4">
        <v>31500</v>
      </c>
      <c r="Q212" s="4">
        <v>1.9</v>
      </c>
      <c r="R212" s="4">
        <v>6</v>
      </c>
      <c r="S212" s="4">
        <v>156</v>
      </c>
      <c r="T212" s="4">
        <v>16.899999999999999</v>
      </c>
      <c r="U212" s="4">
        <v>453</v>
      </c>
      <c r="V212" s="4">
        <v>7.7</v>
      </c>
      <c r="W212" s="4">
        <v>11.5</v>
      </c>
      <c r="X212" s="4">
        <v>1540</v>
      </c>
      <c r="Y212" s="4">
        <v>0.7</v>
      </c>
      <c r="Z212">
        <f t="shared" si="20"/>
        <v>83.333333333333329</v>
      </c>
      <c r="AA212">
        <f t="shared" si="16"/>
        <v>1.8413306116868495</v>
      </c>
      <c r="AB212">
        <f t="shared" si="17"/>
        <v>792.91066172032413</v>
      </c>
      <c r="AC212">
        <f t="shared" si="18"/>
        <v>0.44230769230769229</v>
      </c>
      <c r="AD212">
        <f t="shared" si="19"/>
        <v>-1.0000000000001563E-2</v>
      </c>
    </row>
    <row r="213" spans="1:33">
      <c r="A213" s="4">
        <v>4</v>
      </c>
      <c r="B213" s="4" t="s">
        <v>1334</v>
      </c>
      <c r="C213" s="4">
        <v>19</v>
      </c>
      <c r="D213" s="4">
        <v>4.8</v>
      </c>
      <c r="E213" s="4">
        <v>5.6</v>
      </c>
      <c r="F213" s="4" t="s">
        <v>1522</v>
      </c>
      <c r="G213" s="4" t="s">
        <v>1529</v>
      </c>
      <c r="H213" s="4">
        <v>6.95</v>
      </c>
      <c r="I213" s="4">
        <v>2.25</v>
      </c>
      <c r="J213" s="4">
        <v>9.1999999999999993</v>
      </c>
      <c r="K213" s="4">
        <v>37</v>
      </c>
      <c r="L213" s="9">
        <v>9</v>
      </c>
      <c r="M213" s="4">
        <v>150</v>
      </c>
      <c r="N213" s="4">
        <v>177</v>
      </c>
      <c r="O213" s="4">
        <v>0.83</v>
      </c>
      <c r="P213" s="4">
        <v>39400</v>
      </c>
      <c r="Q213" s="4">
        <v>1.18</v>
      </c>
      <c r="R213" s="4">
        <v>4.7</v>
      </c>
      <c r="S213" s="4">
        <v>4</v>
      </c>
      <c r="T213" s="4">
        <v>0.8</v>
      </c>
      <c r="U213" s="4">
        <v>404</v>
      </c>
      <c r="V213" s="4">
        <v>0.3</v>
      </c>
      <c r="W213" s="4">
        <v>0.3</v>
      </c>
      <c r="X213" s="4">
        <v>1040</v>
      </c>
      <c r="Y213" s="4">
        <v>1</v>
      </c>
      <c r="Z213">
        <f t="shared" si="20"/>
        <v>116.66666666666667</v>
      </c>
      <c r="AA213">
        <f t="shared" si="16"/>
        <v>3.3854422336896057</v>
      </c>
      <c r="AB213">
        <f t="shared" si="17"/>
        <v>4.9042661003256809</v>
      </c>
      <c r="AC213">
        <f t="shared" si="18"/>
        <v>0.36144578313253012</v>
      </c>
      <c r="AD213">
        <f t="shared" si="19"/>
        <v>1.0000000000000009E-3</v>
      </c>
      <c r="AF213">
        <v>1.5</v>
      </c>
      <c r="AG213">
        <f>$AA$3*AF213/($AA$4+AF213^$AA$5)</f>
        <v>4.5890016877733517</v>
      </c>
    </row>
    <row r="214" spans="1:33">
      <c r="A214" s="4">
        <v>82</v>
      </c>
      <c r="B214" s="6" t="s">
        <v>1392</v>
      </c>
      <c r="C214" s="4">
        <v>24</v>
      </c>
      <c r="D214" s="4">
        <v>6.6</v>
      </c>
      <c r="E214" s="4">
        <v>8</v>
      </c>
      <c r="F214" s="4" t="s">
        <v>1523</v>
      </c>
      <c r="G214" s="4" t="s">
        <v>1525</v>
      </c>
      <c r="H214" s="4">
        <v>9.6</v>
      </c>
      <c r="I214" s="4">
        <v>1.39</v>
      </c>
      <c r="J214" s="4">
        <v>10.99</v>
      </c>
      <c r="K214" s="4">
        <v>37</v>
      </c>
      <c r="L214" s="4">
        <v>5</v>
      </c>
      <c r="M214" s="4">
        <v>147</v>
      </c>
      <c r="N214" s="4">
        <v>143</v>
      </c>
      <c r="O214" s="4">
        <v>0.51</v>
      </c>
      <c r="P214" s="4">
        <v>63000</v>
      </c>
      <c r="Q214" s="4">
        <v>0.96</v>
      </c>
      <c r="R214" s="4">
        <v>6</v>
      </c>
      <c r="S214" s="4">
        <v>3</v>
      </c>
      <c r="T214" s="4">
        <v>0.5</v>
      </c>
      <c r="U214" s="4">
        <v>403</v>
      </c>
      <c r="V214" s="4">
        <v>0.2</v>
      </c>
      <c r="W214" s="4">
        <v>0.21</v>
      </c>
      <c r="X214" s="4">
        <v>1020</v>
      </c>
      <c r="Y214" s="4">
        <v>2.4</v>
      </c>
      <c r="Z214">
        <f t="shared" si="20"/>
        <v>121.21212121212122</v>
      </c>
      <c r="AA214">
        <f t="shared" si="16"/>
        <v>3.4161441145778437</v>
      </c>
      <c r="AB214">
        <f t="shared" si="17"/>
        <v>21.011734778319344</v>
      </c>
      <c r="AC214">
        <f t="shared" si="18"/>
        <v>0.41176470588235292</v>
      </c>
      <c r="AD214">
        <f t="shared" si="19"/>
        <v>2.9999999999996696E-4</v>
      </c>
    </row>
    <row r="215" spans="1:33">
      <c r="A215" s="4">
        <v>170</v>
      </c>
      <c r="B215" s="6" t="s">
        <v>1434</v>
      </c>
      <c r="C215" s="4">
        <v>70</v>
      </c>
      <c r="D215" s="4">
        <v>17</v>
      </c>
      <c r="E215" s="4">
        <v>21</v>
      </c>
      <c r="F215" s="4" t="s">
        <v>1523</v>
      </c>
      <c r="G215" s="4" t="s">
        <v>1527</v>
      </c>
      <c r="H215" s="4">
        <v>8.1</v>
      </c>
      <c r="I215" s="4">
        <v>19.899999999999999</v>
      </c>
      <c r="J215" s="4">
        <v>28</v>
      </c>
      <c r="K215" s="4">
        <v>18</v>
      </c>
      <c r="L215" s="4">
        <v>12</v>
      </c>
      <c r="M215" s="4">
        <v>128</v>
      </c>
      <c r="N215" s="4">
        <v>133</v>
      </c>
      <c r="O215" s="4">
        <v>3.5</v>
      </c>
      <c r="P215" s="4">
        <v>76900</v>
      </c>
      <c r="Q215" s="4">
        <v>0.96</v>
      </c>
      <c r="R215" s="4">
        <v>7.4</v>
      </c>
      <c r="S215" s="4">
        <v>26</v>
      </c>
      <c r="T215" s="4">
        <v>1.2</v>
      </c>
      <c r="U215" s="4">
        <v>452</v>
      </c>
      <c r="V215" s="4">
        <v>0.5</v>
      </c>
      <c r="W215" s="4">
        <v>1.5</v>
      </c>
      <c r="X215" s="4">
        <v>2920</v>
      </c>
      <c r="Y215" s="4">
        <v>0.3</v>
      </c>
      <c r="Z215">
        <f t="shared" si="20"/>
        <v>123.52941176470588</v>
      </c>
      <c r="AA215">
        <f t="shared" si="16"/>
        <v>3.0593344585155675</v>
      </c>
      <c r="AB215">
        <f t="shared" si="17"/>
        <v>321.86748007140687</v>
      </c>
      <c r="AC215">
        <f t="shared" si="18"/>
        <v>0.42857142857142855</v>
      </c>
      <c r="AD215">
        <f t="shared" si="19"/>
        <v>-4.9999999999998934E-3</v>
      </c>
    </row>
    <row r="217" spans="1:33">
      <c r="AB217">
        <f>SUM(AB6:AB215)</f>
        <v>41683.188417387973</v>
      </c>
      <c r="AC217">
        <f>AVERAGE(AC6:AC216)</f>
        <v>0.4011291965827854</v>
      </c>
    </row>
    <row r="218" spans="1:33">
      <c r="AC218">
        <f>STDEV(AC6:AC216)</f>
        <v>3.3016543801626552E-2</v>
      </c>
    </row>
  </sheetData>
  <mergeCells count="8">
    <mergeCell ref="B3:B5"/>
    <mergeCell ref="D3:D4"/>
    <mergeCell ref="Q4:S4"/>
    <mergeCell ref="G3:G5"/>
    <mergeCell ref="H3:J4"/>
    <mergeCell ref="K3:L4"/>
    <mergeCell ref="M3:N4"/>
    <mergeCell ref="F3:F5"/>
  </mergeCells>
  <pageMargins left="0.78740157499999996" right="0.78740157499999996" top="0.984251969" bottom="0.984251969" header="0.4921259845" footer="0.4921259845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W211"/>
  <sheetViews>
    <sheetView topLeftCell="A40" zoomScale="75" workbookViewId="0">
      <selection activeCell="L103" sqref="L103"/>
    </sheetView>
  </sheetViews>
  <sheetFormatPr baseColWidth="10" defaultRowHeight="12.75"/>
  <cols>
    <col min="1" max="1" width="10" style="136" bestFit="1" customWidth="1"/>
    <col min="2" max="2" width="4.140625" style="136" bestFit="1" customWidth="1"/>
    <col min="3" max="3" width="11.28515625" style="136" bestFit="1" customWidth="1"/>
    <col min="4" max="4" width="8.85546875" style="136" bestFit="1" customWidth="1"/>
    <col min="5" max="5" width="8.140625" style="136" bestFit="1" customWidth="1"/>
    <col min="6" max="6" width="16" style="136" bestFit="1" customWidth="1"/>
    <col min="7" max="7" width="14.42578125" style="137" bestFit="1" customWidth="1"/>
    <col min="8" max="8" width="11" style="136" customWidth="1"/>
    <col min="9" max="16384" width="11.42578125" style="136"/>
  </cols>
  <sheetData>
    <row r="1" spans="1:9" ht="15.75">
      <c r="A1" s="268" t="s">
        <v>835</v>
      </c>
    </row>
    <row r="2" spans="1:9" ht="15.75">
      <c r="A2" s="135"/>
    </row>
    <row r="3" spans="1:9">
      <c r="A3" s="138" t="s">
        <v>49</v>
      </c>
      <c r="B3" s="138" t="s">
        <v>1467</v>
      </c>
      <c r="C3" s="138" t="s">
        <v>20</v>
      </c>
      <c r="D3" s="138" t="s">
        <v>50</v>
      </c>
      <c r="E3" s="138" t="s">
        <v>51</v>
      </c>
      <c r="F3" s="138" t="s">
        <v>52</v>
      </c>
      <c r="G3" s="139" t="s">
        <v>53</v>
      </c>
      <c r="H3" s="140" t="s">
        <v>54</v>
      </c>
      <c r="I3" s="136" t="s">
        <v>1223</v>
      </c>
    </row>
    <row r="4" spans="1:9">
      <c r="A4" s="136" t="s">
        <v>55</v>
      </c>
      <c r="B4" s="136">
        <v>21</v>
      </c>
      <c r="C4" s="136">
        <v>9</v>
      </c>
      <c r="D4" s="136">
        <v>4.8</v>
      </c>
      <c r="E4" s="136">
        <v>1.68</v>
      </c>
      <c r="F4" s="136">
        <v>4.5</v>
      </c>
      <c r="G4" s="137">
        <v>1.855</v>
      </c>
      <c r="H4" s="140" t="s">
        <v>56</v>
      </c>
      <c r="I4" s="136">
        <f>G4/2</f>
        <v>0.92749999999999999</v>
      </c>
    </row>
    <row r="5" spans="1:9">
      <c r="A5" s="136" t="s">
        <v>55</v>
      </c>
      <c r="B5" s="136">
        <v>23</v>
      </c>
      <c r="C5" s="136">
        <v>9</v>
      </c>
      <c r="D5" s="136">
        <v>4.8</v>
      </c>
      <c r="E5" s="136">
        <v>1.31</v>
      </c>
      <c r="F5" s="136">
        <v>5</v>
      </c>
      <c r="G5" s="137">
        <v>1.835</v>
      </c>
      <c r="H5" s="140" t="s">
        <v>56</v>
      </c>
      <c r="I5" s="136">
        <f t="shared" ref="I5:I68" si="0">G5/2</f>
        <v>0.91749999999999998</v>
      </c>
    </row>
    <row r="6" spans="1:9">
      <c r="A6" s="136" t="s">
        <v>55</v>
      </c>
      <c r="B6" s="136">
        <v>25</v>
      </c>
      <c r="C6" s="136">
        <v>9</v>
      </c>
      <c r="D6" s="136">
        <v>4.0999999999999996</v>
      </c>
      <c r="E6" s="136">
        <v>1.25</v>
      </c>
      <c r="F6" s="136">
        <v>5</v>
      </c>
      <c r="G6" s="137">
        <v>1.78</v>
      </c>
      <c r="H6" s="140" t="s">
        <v>56</v>
      </c>
      <c r="I6" s="136">
        <f t="shared" si="0"/>
        <v>0.89</v>
      </c>
    </row>
    <row r="7" spans="1:9">
      <c r="A7" s="136" t="s">
        <v>55</v>
      </c>
      <c r="B7" s="136">
        <v>27</v>
      </c>
      <c r="C7" s="136">
        <v>9</v>
      </c>
      <c r="D7" s="136">
        <v>5.0999999999999996</v>
      </c>
      <c r="E7" s="136">
        <v>1.64</v>
      </c>
      <c r="F7" s="136">
        <v>3.5</v>
      </c>
      <c r="G7" s="137">
        <v>1.2649999999999999</v>
      </c>
      <c r="H7" s="140" t="s">
        <v>56</v>
      </c>
      <c r="I7" s="136">
        <f t="shared" si="0"/>
        <v>0.63249999999999995</v>
      </c>
    </row>
    <row r="8" spans="1:9">
      <c r="A8" s="136" t="s">
        <v>55</v>
      </c>
      <c r="B8" s="136">
        <v>29</v>
      </c>
      <c r="C8" s="136">
        <v>9</v>
      </c>
      <c r="D8" s="136">
        <v>4.3</v>
      </c>
      <c r="E8" s="136">
        <v>1.51</v>
      </c>
      <c r="F8" s="136">
        <v>3.5</v>
      </c>
      <c r="G8" s="137">
        <v>1.21</v>
      </c>
      <c r="H8" s="140" t="s">
        <v>56</v>
      </c>
      <c r="I8" s="136">
        <f t="shared" si="0"/>
        <v>0.60499999999999998</v>
      </c>
    </row>
    <row r="9" spans="1:9">
      <c r="A9" s="136" t="s">
        <v>55</v>
      </c>
      <c r="B9" s="136">
        <v>31</v>
      </c>
      <c r="C9" s="136">
        <v>9</v>
      </c>
      <c r="D9" s="136">
        <v>5.3</v>
      </c>
      <c r="E9" s="136">
        <v>1.58</v>
      </c>
      <c r="F9" s="136">
        <v>5</v>
      </c>
      <c r="G9" s="137">
        <v>1.08</v>
      </c>
      <c r="H9" s="140" t="s">
        <v>56</v>
      </c>
      <c r="I9" s="136">
        <f t="shared" si="0"/>
        <v>0.54</v>
      </c>
    </row>
    <row r="10" spans="1:9">
      <c r="A10" s="136" t="s">
        <v>55</v>
      </c>
      <c r="B10" s="136">
        <v>33</v>
      </c>
      <c r="C10" s="136">
        <v>9</v>
      </c>
      <c r="D10" s="136">
        <v>4.7</v>
      </c>
      <c r="E10" s="136">
        <v>1.32</v>
      </c>
      <c r="F10" s="136">
        <v>6</v>
      </c>
      <c r="G10" s="137">
        <v>2.2650000000000001</v>
      </c>
      <c r="H10" s="140" t="s">
        <v>56</v>
      </c>
      <c r="I10" s="136">
        <f t="shared" si="0"/>
        <v>1.1325000000000001</v>
      </c>
    </row>
    <row r="11" spans="1:9">
      <c r="A11" s="136" t="s">
        <v>55</v>
      </c>
      <c r="B11" s="136">
        <v>35</v>
      </c>
      <c r="C11" s="136">
        <v>9</v>
      </c>
      <c r="D11" s="136">
        <v>4.2</v>
      </c>
      <c r="E11" s="136">
        <v>1.1599999999999999</v>
      </c>
      <c r="F11" s="136">
        <v>4.5</v>
      </c>
      <c r="G11" s="137">
        <v>1.1399999999999999</v>
      </c>
      <c r="H11" s="140" t="s">
        <v>56</v>
      </c>
      <c r="I11" s="136">
        <f t="shared" si="0"/>
        <v>0.56999999999999995</v>
      </c>
    </row>
    <row r="12" spans="1:9">
      <c r="A12" s="136" t="s">
        <v>55</v>
      </c>
      <c r="B12" s="136">
        <v>37</v>
      </c>
      <c r="C12" s="136">
        <v>9</v>
      </c>
      <c r="D12" s="136">
        <v>4.9000000000000004</v>
      </c>
      <c r="E12" s="136">
        <v>1.71</v>
      </c>
      <c r="F12" s="136">
        <v>5</v>
      </c>
      <c r="G12" s="137">
        <v>2.12</v>
      </c>
      <c r="H12" s="140" t="s">
        <v>56</v>
      </c>
      <c r="I12" s="136">
        <f t="shared" si="0"/>
        <v>1.06</v>
      </c>
    </row>
    <row r="13" spans="1:9">
      <c r="A13" s="136" t="s">
        <v>55</v>
      </c>
      <c r="B13" s="136">
        <v>39</v>
      </c>
      <c r="C13" s="136">
        <v>9</v>
      </c>
      <c r="D13" s="136">
        <v>4.7</v>
      </c>
      <c r="E13" s="136">
        <v>1.73</v>
      </c>
      <c r="F13" s="136">
        <v>6</v>
      </c>
      <c r="G13" s="137">
        <v>2.12</v>
      </c>
      <c r="H13" s="140" t="s">
        <v>56</v>
      </c>
      <c r="I13" s="136">
        <f t="shared" si="0"/>
        <v>1.06</v>
      </c>
    </row>
    <row r="14" spans="1:9">
      <c r="A14" s="136" t="s">
        <v>55</v>
      </c>
      <c r="B14" s="136">
        <v>41</v>
      </c>
      <c r="C14" s="136">
        <v>13</v>
      </c>
      <c r="D14" s="136">
        <v>4.9000000000000004</v>
      </c>
      <c r="E14" s="136">
        <v>2.9</v>
      </c>
      <c r="F14" s="136">
        <v>5.5</v>
      </c>
      <c r="G14" s="137">
        <v>2.33</v>
      </c>
      <c r="H14" s="140" t="s">
        <v>56</v>
      </c>
      <c r="I14" s="136">
        <f t="shared" si="0"/>
        <v>1.165</v>
      </c>
    </row>
    <row r="15" spans="1:9">
      <c r="A15" s="136" t="s">
        <v>55</v>
      </c>
      <c r="B15" s="136">
        <v>43</v>
      </c>
      <c r="C15" s="136">
        <v>13</v>
      </c>
      <c r="D15" s="136">
        <v>5.8</v>
      </c>
      <c r="E15" s="136">
        <v>3</v>
      </c>
      <c r="F15" s="136">
        <v>5.5</v>
      </c>
      <c r="G15" s="137">
        <v>1.5549999999999999</v>
      </c>
      <c r="H15" s="140" t="s">
        <v>56</v>
      </c>
      <c r="I15" s="136">
        <f t="shared" si="0"/>
        <v>0.77749999999999997</v>
      </c>
    </row>
    <row r="16" spans="1:9">
      <c r="A16" s="136" t="s">
        <v>55</v>
      </c>
      <c r="B16" s="136">
        <v>45</v>
      </c>
      <c r="C16" s="136">
        <v>13</v>
      </c>
      <c r="D16" s="136">
        <v>5.5</v>
      </c>
      <c r="E16" s="136">
        <v>2.5</v>
      </c>
      <c r="F16" s="136">
        <v>6.25</v>
      </c>
      <c r="G16" s="137">
        <v>2.0750000000000002</v>
      </c>
      <c r="H16" s="140" t="s">
        <v>56</v>
      </c>
      <c r="I16" s="136">
        <f t="shared" si="0"/>
        <v>1.0375000000000001</v>
      </c>
    </row>
    <row r="17" spans="1:9">
      <c r="A17" s="136" t="s">
        <v>55</v>
      </c>
      <c r="B17" s="136">
        <v>47</v>
      </c>
      <c r="C17" s="136">
        <v>13</v>
      </c>
      <c r="D17" s="136">
        <v>5.7</v>
      </c>
      <c r="E17" s="136">
        <v>2.6</v>
      </c>
      <c r="F17" s="136">
        <v>4</v>
      </c>
      <c r="G17" s="137">
        <v>1.35</v>
      </c>
      <c r="H17" s="140" t="s">
        <v>56</v>
      </c>
      <c r="I17" s="136">
        <f t="shared" si="0"/>
        <v>0.67500000000000004</v>
      </c>
    </row>
    <row r="18" spans="1:9">
      <c r="A18" s="136" t="s">
        <v>55</v>
      </c>
      <c r="B18" s="136">
        <v>49</v>
      </c>
      <c r="C18" s="136">
        <v>13</v>
      </c>
      <c r="D18" s="136">
        <v>6.6</v>
      </c>
      <c r="E18" s="136">
        <v>3.1</v>
      </c>
      <c r="F18" s="136">
        <v>5</v>
      </c>
      <c r="G18" s="137">
        <v>1.4750000000000001</v>
      </c>
      <c r="H18" s="140" t="s">
        <v>56</v>
      </c>
      <c r="I18" s="136">
        <f t="shared" si="0"/>
        <v>0.73750000000000004</v>
      </c>
    </row>
    <row r="19" spans="1:9">
      <c r="A19" s="136" t="s">
        <v>55</v>
      </c>
      <c r="B19" s="136">
        <v>51</v>
      </c>
      <c r="C19" s="136">
        <v>13</v>
      </c>
      <c r="D19" s="136">
        <v>6.3</v>
      </c>
      <c r="E19" s="136">
        <v>3</v>
      </c>
      <c r="F19" s="136">
        <v>6.25</v>
      </c>
      <c r="G19" s="137">
        <v>1.415</v>
      </c>
      <c r="H19" s="140" t="s">
        <v>56</v>
      </c>
      <c r="I19" s="136">
        <f t="shared" si="0"/>
        <v>0.70750000000000002</v>
      </c>
    </row>
    <row r="20" spans="1:9">
      <c r="A20" s="136" t="s">
        <v>55</v>
      </c>
      <c r="B20" s="136">
        <v>55</v>
      </c>
      <c r="C20" s="136">
        <v>13</v>
      </c>
      <c r="D20" s="136">
        <v>4.9000000000000004</v>
      </c>
      <c r="E20" s="136">
        <v>2.6</v>
      </c>
      <c r="F20" s="136">
        <v>6.75</v>
      </c>
      <c r="G20" s="137">
        <v>1.94</v>
      </c>
      <c r="H20" s="140" t="s">
        <v>56</v>
      </c>
      <c r="I20" s="136">
        <f t="shared" si="0"/>
        <v>0.97</v>
      </c>
    </row>
    <row r="21" spans="1:9">
      <c r="A21" s="136" t="s">
        <v>55</v>
      </c>
      <c r="B21" s="136">
        <v>57</v>
      </c>
      <c r="C21" s="136">
        <v>13</v>
      </c>
      <c r="D21" s="136">
        <v>6.3</v>
      </c>
      <c r="E21" s="136">
        <v>2.7</v>
      </c>
      <c r="F21" s="136">
        <v>6.75</v>
      </c>
      <c r="G21" s="137">
        <v>2.0249999999999999</v>
      </c>
      <c r="H21" s="140" t="s">
        <v>56</v>
      </c>
      <c r="I21" s="136">
        <f t="shared" si="0"/>
        <v>1.0125</v>
      </c>
    </row>
    <row r="22" spans="1:9">
      <c r="A22" s="136" t="s">
        <v>55</v>
      </c>
      <c r="B22" s="136">
        <v>59</v>
      </c>
      <c r="C22" s="136">
        <v>13</v>
      </c>
      <c r="D22" s="136">
        <v>4.5999999999999996</v>
      </c>
      <c r="E22" s="136">
        <v>2.6</v>
      </c>
      <c r="F22" s="136">
        <v>5</v>
      </c>
      <c r="G22" s="137">
        <v>1.05</v>
      </c>
      <c r="H22" s="140" t="s">
        <v>56</v>
      </c>
      <c r="I22" s="136">
        <f t="shared" si="0"/>
        <v>0.52500000000000002</v>
      </c>
    </row>
    <row r="23" spans="1:9">
      <c r="A23" s="136" t="s">
        <v>55</v>
      </c>
      <c r="B23" s="136">
        <v>53</v>
      </c>
      <c r="C23" s="136">
        <v>13</v>
      </c>
      <c r="D23" s="136">
        <v>4.4000000000000004</v>
      </c>
      <c r="E23" s="136">
        <v>2.8</v>
      </c>
      <c r="F23" s="136">
        <v>6.5</v>
      </c>
      <c r="G23" s="137">
        <v>1.88</v>
      </c>
      <c r="H23" s="140" t="s">
        <v>56</v>
      </c>
      <c r="I23" s="136">
        <f t="shared" si="0"/>
        <v>0.94</v>
      </c>
    </row>
    <row r="24" spans="1:9">
      <c r="A24" s="136" t="s">
        <v>55</v>
      </c>
      <c r="B24" s="136">
        <v>101</v>
      </c>
      <c r="C24" s="136">
        <v>24</v>
      </c>
      <c r="D24" s="136">
        <v>12.8</v>
      </c>
      <c r="E24" s="136">
        <v>6</v>
      </c>
      <c r="F24" s="136">
        <v>13.75</v>
      </c>
      <c r="G24" s="137">
        <v>2.54</v>
      </c>
      <c r="H24" s="140" t="s">
        <v>56</v>
      </c>
      <c r="I24" s="136">
        <f t="shared" si="0"/>
        <v>1.27</v>
      </c>
    </row>
    <row r="25" spans="1:9">
      <c r="A25" s="136" t="s">
        <v>55</v>
      </c>
      <c r="B25" s="136">
        <v>103</v>
      </c>
      <c r="C25" s="136">
        <v>24</v>
      </c>
      <c r="D25" s="136">
        <v>12</v>
      </c>
      <c r="E25" s="136">
        <v>7.2</v>
      </c>
      <c r="F25" s="136">
        <v>12.5</v>
      </c>
      <c r="G25" s="137">
        <v>2.4849999999999999</v>
      </c>
      <c r="H25" s="140" t="s">
        <v>56</v>
      </c>
      <c r="I25" s="136">
        <f t="shared" si="0"/>
        <v>1.2424999999999999</v>
      </c>
    </row>
    <row r="26" spans="1:9">
      <c r="A26" s="136" t="s">
        <v>55</v>
      </c>
      <c r="B26" s="136">
        <v>105</v>
      </c>
      <c r="C26" s="136">
        <v>24</v>
      </c>
      <c r="D26" s="136">
        <v>12.8</v>
      </c>
      <c r="E26" s="136">
        <v>7.4</v>
      </c>
      <c r="F26" s="136">
        <v>13.5</v>
      </c>
      <c r="G26" s="137">
        <v>2.15</v>
      </c>
      <c r="H26" s="140" t="s">
        <v>56</v>
      </c>
      <c r="I26" s="136">
        <f t="shared" si="0"/>
        <v>1.075</v>
      </c>
    </row>
    <row r="27" spans="1:9">
      <c r="A27" s="136" t="s">
        <v>55</v>
      </c>
      <c r="B27" s="136">
        <v>107</v>
      </c>
      <c r="C27" s="136">
        <v>24</v>
      </c>
      <c r="D27" s="136">
        <v>10.8</v>
      </c>
      <c r="E27" s="136">
        <v>7.4</v>
      </c>
      <c r="F27" s="136">
        <v>10.25</v>
      </c>
      <c r="G27" s="137">
        <v>1.84</v>
      </c>
      <c r="H27" s="140" t="s">
        <v>56</v>
      </c>
      <c r="I27" s="136">
        <f t="shared" si="0"/>
        <v>0.92</v>
      </c>
    </row>
    <row r="28" spans="1:9">
      <c r="A28" s="136" t="s">
        <v>55</v>
      </c>
      <c r="B28" s="136">
        <v>109</v>
      </c>
      <c r="C28" s="136">
        <v>24</v>
      </c>
      <c r="D28" s="136">
        <v>11.2</v>
      </c>
      <c r="E28" s="136">
        <v>7.9</v>
      </c>
      <c r="F28" s="136">
        <v>13.5</v>
      </c>
      <c r="G28" s="137">
        <v>2.92</v>
      </c>
      <c r="H28" s="140" t="s">
        <v>56</v>
      </c>
      <c r="I28" s="136">
        <f t="shared" si="0"/>
        <v>1.46</v>
      </c>
    </row>
    <row r="29" spans="1:9">
      <c r="A29" s="136" t="s">
        <v>55</v>
      </c>
      <c r="B29" s="136">
        <v>111</v>
      </c>
      <c r="C29" s="136">
        <v>24</v>
      </c>
      <c r="D29" s="136">
        <v>12</v>
      </c>
      <c r="E29" s="136">
        <v>5.2</v>
      </c>
      <c r="F29" s="136">
        <v>13.5</v>
      </c>
      <c r="G29" s="137">
        <v>2.9550000000000001</v>
      </c>
      <c r="H29" s="140" t="s">
        <v>56</v>
      </c>
      <c r="I29" s="136">
        <f t="shared" si="0"/>
        <v>1.4775</v>
      </c>
    </row>
    <row r="30" spans="1:9">
      <c r="A30" s="136" t="s">
        <v>55</v>
      </c>
      <c r="B30" s="136">
        <v>113</v>
      </c>
      <c r="C30" s="136">
        <v>24</v>
      </c>
      <c r="D30" s="136">
        <v>13.1</v>
      </c>
      <c r="E30" s="136">
        <v>7.4</v>
      </c>
      <c r="F30" s="136">
        <v>13.25</v>
      </c>
      <c r="G30" s="137">
        <v>3.17</v>
      </c>
      <c r="H30" s="140" t="s">
        <v>56</v>
      </c>
      <c r="I30" s="136">
        <f t="shared" si="0"/>
        <v>1.585</v>
      </c>
    </row>
    <row r="31" spans="1:9">
      <c r="A31" s="136" t="s">
        <v>55</v>
      </c>
      <c r="B31" s="136">
        <v>115</v>
      </c>
      <c r="C31" s="136">
        <v>24</v>
      </c>
      <c r="D31" s="136">
        <v>13.8</v>
      </c>
      <c r="E31" s="136">
        <v>8.1999999999999993</v>
      </c>
      <c r="F31" s="136">
        <v>16.75</v>
      </c>
      <c r="G31" s="137">
        <v>3.32</v>
      </c>
      <c r="H31" s="140" t="s">
        <v>56</v>
      </c>
      <c r="I31" s="136">
        <f t="shared" si="0"/>
        <v>1.66</v>
      </c>
    </row>
    <row r="32" spans="1:9">
      <c r="A32" s="136" t="s">
        <v>55</v>
      </c>
      <c r="B32" s="136">
        <v>117</v>
      </c>
      <c r="C32" s="136">
        <v>24</v>
      </c>
      <c r="D32" s="136">
        <v>13.2</v>
      </c>
      <c r="E32" s="136">
        <v>7.8</v>
      </c>
      <c r="F32" s="136">
        <v>15.5</v>
      </c>
      <c r="G32" s="137">
        <v>3.2850000000000001</v>
      </c>
      <c r="H32" s="140" t="s">
        <v>56</v>
      </c>
      <c r="I32" s="136">
        <f t="shared" si="0"/>
        <v>1.6425000000000001</v>
      </c>
    </row>
    <row r="33" spans="1:23">
      <c r="A33" s="136" t="s">
        <v>55</v>
      </c>
      <c r="B33" s="136">
        <v>119</v>
      </c>
      <c r="C33" s="136">
        <v>24</v>
      </c>
      <c r="D33" s="136">
        <v>13.1</v>
      </c>
      <c r="E33" s="136">
        <v>8</v>
      </c>
      <c r="F33" s="136">
        <v>14.25</v>
      </c>
      <c r="G33" s="137">
        <v>2.5750000000000002</v>
      </c>
      <c r="H33" s="140" t="s">
        <v>56</v>
      </c>
      <c r="I33" s="136">
        <f t="shared" si="0"/>
        <v>1.2875000000000001</v>
      </c>
      <c r="J33" s="172"/>
    </row>
    <row r="34" spans="1:23">
      <c r="A34" s="136" t="s">
        <v>55</v>
      </c>
      <c r="B34" s="136">
        <v>1</v>
      </c>
      <c r="C34" s="136">
        <v>30</v>
      </c>
      <c r="D34" s="136">
        <v>12.1</v>
      </c>
      <c r="E34" s="136">
        <v>5.9</v>
      </c>
      <c r="F34" s="136">
        <v>11.75</v>
      </c>
      <c r="G34" s="137">
        <v>2.98</v>
      </c>
      <c r="H34" s="140" t="s">
        <v>56</v>
      </c>
      <c r="I34" s="136">
        <f t="shared" si="0"/>
        <v>1.49</v>
      </c>
    </row>
    <row r="35" spans="1:23">
      <c r="A35" s="136" t="s">
        <v>55</v>
      </c>
      <c r="B35" s="136">
        <v>3</v>
      </c>
      <c r="C35" s="136">
        <v>30</v>
      </c>
      <c r="D35" s="136">
        <v>10.8</v>
      </c>
      <c r="E35" s="136">
        <v>7.1</v>
      </c>
      <c r="F35" s="136">
        <v>13.75</v>
      </c>
      <c r="G35" s="137">
        <v>3.09</v>
      </c>
      <c r="H35" s="140" t="s">
        <v>56</v>
      </c>
      <c r="I35" s="136">
        <f t="shared" si="0"/>
        <v>1.5449999999999999</v>
      </c>
      <c r="V35" s="136">
        <v>40</v>
      </c>
    </row>
    <row r="36" spans="1:23">
      <c r="A36" s="136" t="s">
        <v>55</v>
      </c>
      <c r="B36" s="136">
        <v>5</v>
      </c>
      <c r="C36" s="136">
        <v>30</v>
      </c>
      <c r="D36" s="136">
        <v>11.8</v>
      </c>
      <c r="E36" s="136">
        <v>6.1</v>
      </c>
      <c r="F36" s="136">
        <v>12</v>
      </c>
      <c r="G36" s="137">
        <v>2.7050000000000001</v>
      </c>
      <c r="H36" s="140" t="s">
        <v>56</v>
      </c>
      <c r="I36" s="136">
        <f t="shared" si="0"/>
        <v>1.3525</v>
      </c>
      <c r="V36" s="136">
        <v>6</v>
      </c>
    </row>
    <row r="37" spans="1:23">
      <c r="A37" s="136" t="s">
        <v>55</v>
      </c>
      <c r="B37" s="136">
        <v>7</v>
      </c>
      <c r="C37" s="136">
        <v>30</v>
      </c>
      <c r="D37" s="136">
        <v>11.4</v>
      </c>
      <c r="E37" s="136">
        <v>5.2</v>
      </c>
      <c r="F37" s="136">
        <v>16.5</v>
      </c>
      <c r="G37" s="137">
        <v>4.66</v>
      </c>
      <c r="H37" s="140" t="s">
        <v>56</v>
      </c>
      <c r="I37" s="136">
        <f t="shared" si="0"/>
        <v>2.33</v>
      </c>
    </row>
    <row r="38" spans="1:23">
      <c r="A38" s="136" t="s">
        <v>55</v>
      </c>
      <c r="B38" s="136">
        <v>9</v>
      </c>
      <c r="C38" s="136">
        <v>30</v>
      </c>
      <c r="D38" s="136">
        <v>11.7</v>
      </c>
      <c r="E38" s="136">
        <v>6.2</v>
      </c>
      <c r="F38" s="136">
        <v>13</v>
      </c>
      <c r="G38" s="137">
        <v>3.1949999999999998</v>
      </c>
      <c r="H38" s="140" t="s">
        <v>56</v>
      </c>
      <c r="I38" s="136">
        <f t="shared" si="0"/>
        <v>1.5974999999999999</v>
      </c>
      <c r="V38" s="136">
        <v>1</v>
      </c>
      <c r="W38" s="136">
        <f>V$36*V38/(V$35+V38)+0.5</f>
        <v>0.64634146341463417</v>
      </c>
    </row>
    <row r="39" spans="1:23">
      <c r="A39" s="136" t="s">
        <v>55</v>
      </c>
      <c r="B39" s="136">
        <v>11</v>
      </c>
      <c r="C39" s="136">
        <v>30</v>
      </c>
      <c r="D39" s="136">
        <v>9.9</v>
      </c>
      <c r="E39" s="136">
        <v>6.6</v>
      </c>
      <c r="F39" s="136">
        <v>9.75</v>
      </c>
      <c r="G39" s="137">
        <v>1.86</v>
      </c>
      <c r="H39" s="140" t="s">
        <v>56</v>
      </c>
      <c r="I39" s="136">
        <f t="shared" si="0"/>
        <v>0.93</v>
      </c>
      <c r="V39" s="136">
        <v>2</v>
      </c>
      <c r="W39" s="136">
        <f t="shared" ref="W39:W96" si="1">V$36*V39/(V$35+V39)+0.5</f>
        <v>0.7857142857142857</v>
      </c>
    </row>
    <row r="40" spans="1:23">
      <c r="A40" s="136" t="s">
        <v>55</v>
      </c>
      <c r="B40" s="136">
        <v>13</v>
      </c>
      <c r="C40" s="136">
        <v>30</v>
      </c>
      <c r="D40" s="136">
        <v>13.5</v>
      </c>
      <c r="E40" s="136">
        <v>7.5</v>
      </c>
      <c r="F40" s="136">
        <v>16</v>
      </c>
      <c r="G40" s="137">
        <v>3.8250000000000002</v>
      </c>
      <c r="H40" s="140" t="s">
        <v>56</v>
      </c>
      <c r="I40" s="136">
        <f t="shared" si="0"/>
        <v>1.9125000000000001</v>
      </c>
      <c r="V40" s="136">
        <f>V39+1</f>
        <v>3</v>
      </c>
      <c r="W40" s="136">
        <f t="shared" si="1"/>
        <v>0.91860465116279078</v>
      </c>
    </row>
    <row r="41" spans="1:23">
      <c r="A41" s="136" t="s">
        <v>55</v>
      </c>
      <c r="B41" s="136">
        <v>15</v>
      </c>
      <c r="C41" s="136">
        <v>30</v>
      </c>
      <c r="D41" s="136">
        <v>11.9</v>
      </c>
      <c r="E41" s="136">
        <v>7.8</v>
      </c>
      <c r="F41" s="136">
        <v>11</v>
      </c>
      <c r="G41" s="137">
        <v>1.7649999999999999</v>
      </c>
      <c r="H41" s="140" t="s">
        <v>56</v>
      </c>
      <c r="I41" s="136">
        <f t="shared" si="0"/>
        <v>0.88249999999999995</v>
      </c>
      <c r="V41" s="136">
        <f t="shared" ref="V41:V96" si="2">V40+1</f>
        <v>4</v>
      </c>
      <c r="W41" s="136">
        <f t="shared" si="1"/>
        <v>1.0454545454545454</v>
      </c>
    </row>
    <row r="42" spans="1:23">
      <c r="A42" s="136" t="s">
        <v>55</v>
      </c>
      <c r="B42" s="136">
        <v>17</v>
      </c>
      <c r="C42" s="136">
        <v>30</v>
      </c>
      <c r="D42" s="136">
        <v>11.3</v>
      </c>
      <c r="E42" s="136">
        <v>6.9</v>
      </c>
      <c r="F42" s="136">
        <v>12</v>
      </c>
      <c r="G42" s="137">
        <v>2.4950000000000001</v>
      </c>
      <c r="H42" s="140" t="s">
        <v>56</v>
      </c>
      <c r="I42" s="136">
        <f t="shared" si="0"/>
        <v>1.2475000000000001</v>
      </c>
      <c r="V42" s="136">
        <f t="shared" si="2"/>
        <v>5</v>
      </c>
      <c r="W42" s="136">
        <f t="shared" si="1"/>
        <v>1.1666666666666665</v>
      </c>
    </row>
    <row r="43" spans="1:23">
      <c r="A43" s="136" t="s">
        <v>55</v>
      </c>
      <c r="B43" s="136">
        <v>19</v>
      </c>
      <c r="C43" s="136">
        <v>30</v>
      </c>
      <c r="D43" s="136">
        <v>12.1</v>
      </c>
      <c r="E43" s="136">
        <v>6.2</v>
      </c>
      <c r="F43" s="136">
        <v>12</v>
      </c>
      <c r="G43" s="137">
        <v>2.605</v>
      </c>
      <c r="H43" s="140" t="s">
        <v>56</v>
      </c>
      <c r="I43" s="136">
        <f t="shared" si="0"/>
        <v>1.3025</v>
      </c>
      <c r="V43" s="136">
        <f t="shared" si="2"/>
        <v>6</v>
      </c>
      <c r="W43" s="136">
        <f t="shared" si="1"/>
        <v>1.2826086956521738</v>
      </c>
    </row>
    <row r="44" spans="1:23">
      <c r="A44" s="136" t="s">
        <v>55</v>
      </c>
      <c r="B44" s="136">
        <v>81</v>
      </c>
      <c r="C44" s="136">
        <v>39</v>
      </c>
      <c r="D44" s="136">
        <v>16.100000000000001</v>
      </c>
      <c r="E44" s="136">
        <v>11.8</v>
      </c>
      <c r="F44" s="136">
        <v>17</v>
      </c>
      <c r="G44" s="137">
        <v>2.1749999999999998</v>
      </c>
      <c r="H44" s="140" t="s">
        <v>56</v>
      </c>
      <c r="I44" s="136">
        <f t="shared" si="0"/>
        <v>1.0874999999999999</v>
      </c>
      <c r="V44" s="136">
        <f t="shared" si="2"/>
        <v>7</v>
      </c>
      <c r="W44" s="136">
        <f t="shared" si="1"/>
        <v>1.3936170212765957</v>
      </c>
    </row>
    <row r="45" spans="1:23">
      <c r="A45" s="136" t="s">
        <v>55</v>
      </c>
      <c r="B45" s="136">
        <v>83</v>
      </c>
      <c r="C45" s="136">
        <v>39</v>
      </c>
      <c r="D45" s="136">
        <v>20</v>
      </c>
      <c r="E45" s="136">
        <v>10.6</v>
      </c>
      <c r="F45" s="136">
        <v>22.75</v>
      </c>
      <c r="G45" s="137">
        <v>4.16</v>
      </c>
      <c r="H45" s="140" t="s">
        <v>56</v>
      </c>
      <c r="I45" s="136">
        <f t="shared" si="0"/>
        <v>2.08</v>
      </c>
      <c r="V45" s="136">
        <f t="shared" si="2"/>
        <v>8</v>
      </c>
      <c r="W45" s="136">
        <f t="shared" si="1"/>
        <v>1.5</v>
      </c>
    </row>
    <row r="46" spans="1:23">
      <c r="A46" s="136" t="s">
        <v>55</v>
      </c>
      <c r="B46" s="136">
        <v>85</v>
      </c>
      <c r="C46" s="136">
        <v>39</v>
      </c>
      <c r="D46" s="136">
        <v>20.7</v>
      </c>
      <c r="E46" s="136">
        <v>14.4</v>
      </c>
      <c r="F46" s="136">
        <v>26.25</v>
      </c>
      <c r="G46" s="137">
        <v>4.8</v>
      </c>
      <c r="H46" s="140" t="s">
        <v>56</v>
      </c>
      <c r="I46" s="136">
        <f t="shared" si="0"/>
        <v>2.4</v>
      </c>
      <c r="V46" s="136">
        <f t="shared" si="2"/>
        <v>9</v>
      </c>
      <c r="W46" s="136">
        <f t="shared" si="1"/>
        <v>1.6020408163265305</v>
      </c>
    </row>
    <row r="47" spans="1:23">
      <c r="A47" s="136" t="s">
        <v>55</v>
      </c>
      <c r="B47" s="136">
        <v>87</v>
      </c>
      <c r="C47" s="136">
        <v>39</v>
      </c>
      <c r="D47" s="136">
        <v>17.2</v>
      </c>
      <c r="E47" s="136">
        <v>11.5</v>
      </c>
      <c r="F47" s="136">
        <v>23.5</v>
      </c>
      <c r="G47" s="137">
        <v>3.59</v>
      </c>
      <c r="H47" s="140" t="s">
        <v>56</v>
      </c>
      <c r="I47" s="136">
        <f t="shared" si="0"/>
        <v>1.7949999999999999</v>
      </c>
      <c r="V47" s="136">
        <f t="shared" si="2"/>
        <v>10</v>
      </c>
      <c r="W47" s="136">
        <f t="shared" si="1"/>
        <v>1.7</v>
      </c>
    </row>
    <row r="48" spans="1:23">
      <c r="A48" s="136" t="s">
        <v>55</v>
      </c>
      <c r="B48" s="136">
        <v>89</v>
      </c>
      <c r="C48" s="136">
        <v>39</v>
      </c>
      <c r="D48" s="136">
        <v>20.8</v>
      </c>
      <c r="E48" s="136">
        <v>15.9</v>
      </c>
      <c r="F48" s="136">
        <v>19</v>
      </c>
      <c r="G48" s="137">
        <v>3.4449999999999998</v>
      </c>
      <c r="H48" s="140" t="s">
        <v>56</v>
      </c>
      <c r="I48" s="136">
        <f t="shared" si="0"/>
        <v>1.7224999999999999</v>
      </c>
      <c r="V48" s="136">
        <f t="shared" si="2"/>
        <v>11</v>
      </c>
      <c r="W48" s="136">
        <f t="shared" si="1"/>
        <v>1.7941176470588236</v>
      </c>
    </row>
    <row r="49" spans="1:23">
      <c r="A49" s="136" t="s">
        <v>55</v>
      </c>
      <c r="B49" s="136">
        <v>91</v>
      </c>
      <c r="C49" s="136">
        <v>39</v>
      </c>
      <c r="D49" s="136">
        <v>16.8</v>
      </c>
      <c r="E49" s="136">
        <v>13.6</v>
      </c>
      <c r="F49" s="136">
        <v>20</v>
      </c>
      <c r="G49" s="137">
        <v>2.94</v>
      </c>
      <c r="H49" s="140" t="s">
        <v>56</v>
      </c>
      <c r="I49" s="136">
        <f t="shared" si="0"/>
        <v>1.47</v>
      </c>
      <c r="V49" s="136">
        <f t="shared" si="2"/>
        <v>12</v>
      </c>
      <c r="W49" s="136">
        <f t="shared" si="1"/>
        <v>1.8846153846153846</v>
      </c>
    </row>
    <row r="50" spans="1:23">
      <c r="A50" s="136" t="s">
        <v>55</v>
      </c>
      <c r="B50" s="136">
        <v>93</v>
      </c>
      <c r="C50" s="136">
        <v>39</v>
      </c>
      <c r="D50" s="136">
        <v>20</v>
      </c>
      <c r="E50" s="136">
        <v>11.5</v>
      </c>
      <c r="F50" s="136">
        <v>23.75</v>
      </c>
      <c r="G50" s="137">
        <v>4.47</v>
      </c>
      <c r="H50" s="140" t="s">
        <v>56</v>
      </c>
      <c r="I50" s="136">
        <f t="shared" si="0"/>
        <v>2.2349999999999999</v>
      </c>
      <c r="V50" s="136">
        <f t="shared" si="2"/>
        <v>13</v>
      </c>
      <c r="W50" s="136">
        <f t="shared" si="1"/>
        <v>1.9716981132075471</v>
      </c>
    </row>
    <row r="51" spans="1:23">
      <c r="A51" s="136" t="s">
        <v>55</v>
      </c>
      <c r="B51" s="136">
        <v>95</v>
      </c>
      <c r="C51" s="136">
        <v>39</v>
      </c>
      <c r="D51" s="136">
        <v>21.7</v>
      </c>
      <c r="E51" s="136">
        <v>13.3</v>
      </c>
      <c r="F51" s="136">
        <v>19.75</v>
      </c>
      <c r="G51" s="137">
        <v>4.0250000000000004</v>
      </c>
      <c r="H51" s="140" t="s">
        <v>56</v>
      </c>
      <c r="I51" s="136">
        <f t="shared" si="0"/>
        <v>2.0125000000000002</v>
      </c>
      <c r="V51" s="136">
        <f t="shared" si="2"/>
        <v>14</v>
      </c>
      <c r="W51" s="136">
        <f t="shared" si="1"/>
        <v>2.0555555555555554</v>
      </c>
    </row>
    <row r="52" spans="1:23">
      <c r="A52" s="136" t="s">
        <v>55</v>
      </c>
      <c r="B52" s="136">
        <v>97</v>
      </c>
      <c r="C52" s="136">
        <v>39</v>
      </c>
      <c r="D52" s="136">
        <v>21</v>
      </c>
      <c r="E52" s="136">
        <v>14.6</v>
      </c>
      <c r="F52" s="136">
        <v>23</v>
      </c>
      <c r="G52" s="137">
        <v>4.3099999999999996</v>
      </c>
      <c r="H52" s="140" t="s">
        <v>56</v>
      </c>
      <c r="I52" s="136">
        <f t="shared" si="0"/>
        <v>2.1549999999999998</v>
      </c>
      <c r="V52" s="136">
        <f t="shared" si="2"/>
        <v>15</v>
      </c>
      <c r="W52" s="136">
        <f t="shared" si="1"/>
        <v>2.1363636363636367</v>
      </c>
    </row>
    <row r="53" spans="1:23">
      <c r="A53" s="136" t="s">
        <v>55</v>
      </c>
      <c r="B53" s="136">
        <v>99</v>
      </c>
      <c r="C53" s="136">
        <v>39</v>
      </c>
      <c r="D53" s="136">
        <v>16.899999999999999</v>
      </c>
      <c r="E53" s="136">
        <v>10</v>
      </c>
      <c r="F53" s="136">
        <v>17.75</v>
      </c>
      <c r="G53" s="137">
        <v>4.5599999999999996</v>
      </c>
      <c r="H53" s="140" t="s">
        <v>56</v>
      </c>
      <c r="I53" s="136">
        <f t="shared" si="0"/>
        <v>2.2799999999999998</v>
      </c>
      <c r="V53" s="136">
        <f t="shared" si="2"/>
        <v>16</v>
      </c>
      <c r="W53" s="136">
        <f t="shared" si="1"/>
        <v>2.2142857142857144</v>
      </c>
    </row>
    <row r="54" spans="1:23">
      <c r="A54" s="136" t="s">
        <v>55</v>
      </c>
      <c r="B54" s="136">
        <v>121</v>
      </c>
      <c r="C54" s="136">
        <v>51</v>
      </c>
      <c r="D54" s="136">
        <v>20.399999999999999</v>
      </c>
      <c r="E54" s="136">
        <v>13.2</v>
      </c>
      <c r="F54" s="136">
        <v>25.5</v>
      </c>
      <c r="G54" s="137">
        <v>4.8550000000000004</v>
      </c>
      <c r="H54" s="140" t="s">
        <v>56</v>
      </c>
      <c r="I54" s="136">
        <f t="shared" si="0"/>
        <v>2.4275000000000002</v>
      </c>
      <c r="V54" s="136">
        <f t="shared" si="2"/>
        <v>17</v>
      </c>
      <c r="W54" s="136">
        <f t="shared" si="1"/>
        <v>2.2894736842105265</v>
      </c>
    </row>
    <row r="55" spans="1:23">
      <c r="A55" s="136" t="s">
        <v>55</v>
      </c>
      <c r="B55" s="136">
        <v>123</v>
      </c>
      <c r="C55" s="136">
        <v>51</v>
      </c>
      <c r="D55" s="136">
        <v>20.6</v>
      </c>
      <c r="E55" s="136">
        <v>16.100000000000001</v>
      </c>
      <c r="F55" s="136">
        <v>20.25</v>
      </c>
      <c r="G55" s="137">
        <v>3.605</v>
      </c>
      <c r="H55" s="140" t="s">
        <v>56</v>
      </c>
      <c r="I55" s="136">
        <f t="shared" si="0"/>
        <v>1.8025</v>
      </c>
      <c r="V55" s="136">
        <f t="shared" si="2"/>
        <v>18</v>
      </c>
      <c r="W55" s="136">
        <f t="shared" si="1"/>
        <v>2.3620689655172411</v>
      </c>
    </row>
    <row r="56" spans="1:23">
      <c r="A56" s="136" t="s">
        <v>55</v>
      </c>
      <c r="B56" s="136">
        <v>125</v>
      </c>
      <c r="C56" s="136">
        <v>51</v>
      </c>
      <c r="D56" s="136">
        <v>19.2</v>
      </c>
      <c r="E56" s="136">
        <v>10.3</v>
      </c>
      <c r="F56" s="136">
        <v>20.5</v>
      </c>
      <c r="G56" s="137">
        <v>4.8849999999999998</v>
      </c>
      <c r="H56" s="140" t="s">
        <v>56</v>
      </c>
      <c r="I56" s="136">
        <f t="shared" si="0"/>
        <v>2.4424999999999999</v>
      </c>
      <c r="V56" s="136">
        <f t="shared" si="2"/>
        <v>19</v>
      </c>
      <c r="W56" s="136">
        <f t="shared" si="1"/>
        <v>2.4322033898305087</v>
      </c>
    </row>
    <row r="57" spans="1:23">
      <c r="A57" s="136" t="s">
        <v>55</v>
      </c>
      <c r="B57" s="136">
        <v>127</v>
      </c>
      <c r="C57" s="136">
        <v>51</v>
      </c>
      <c r="D57" s="136">
        <v>20.100000000000001</v>
      </c>
      <c r="E57" s="136">
        <v>12.3</v>
      </c>
      <c r="F57" s="136">
        <v>21.75</v>
      </c>
      <c r="G57" s="137">
        <v>4.2850000000000001</v>
      </c>
      <c r="H57" s="140" t="s">
        <v>56</v>
      </c>
      <c r="I57" s="136">
        <f t="shared" si="0"/>
        <v>2.1425000000000001</v>
      </c>
      <c r="V57" s="136">
        <f t="shared" si="2"/>
        <v>20</v>
      </c>
      <c r="W57" s="136">
        <f t="shared" si="1"/>
        <v>2.5</v>
      </c>
    </row>
    <row r="58" spans="1:23">
      <c r="A58" s="136" t="s">
        <v>55</v>
      </c>
      <c r="B58" s="136">
        <v>131</v>
      </c>
      <c r="C58" s="136">
        <v>51</v>
      </c>
      <c r="D58" s="136">
        <v>22.4</v>
      </c>
      <c r="E58" s="136">
        <v>13.8</v>
      </c>
      <c r="F58" s="136">
        <v>21.5</v>
      </c>
      <c r="G58" s="137">
        <v>3.2949999999999999</v>
      </c>
      <c r="H58" s="140" t="s">
        <v>56</v>
      </c>
      <c r="I58" s="136">
        <f t="shared" si="0"/>
        <v>1.6475</v>
      </c>
      <c r="V58" s="136">
        <f t="shared" si="2"/>
        <v>21</v>
      </c>
      <c r="W58" s="136">
        <f t="shared" si="1"/>
        <v>2.5655737704918034</v>
      </c>
    </row>
    <row r="59" spans="1:23">
      <c r="A59" s="136" t="s">
        <v>55</v>
      </c>
      <c r="B59" s="136">
        <v>133</v>
      </c>
      <c r="C59" s="136">
        <v>51</v>
      </c>
      <c r="D59" s="136">
        <v>19.7</v>
      </c>
      <c r="E59" s="136">
        <v>10.8</v>
      </c>
      <c r="F59" s="136">
        <v>24.5</v>
      </c>
      <c r="G59" s="137">
        <v>5.31</v>
      </c>
      <c r="H59" s="140" t="s">
        <v>56</v>
      </c>
      <c r="I59" s="136">
        <f t="shared" si="0"/>
        <v>2.6549999999999998</v>
      </c>
      <c r="V59" s="136">
        <f t="shared" si="2"/>
        <v>22</v>
      </c>
      <c r="W59" s="136">
        <f t="shared" si="1"/>
        <v>2.629032258064516</v>
      </c>
    </row>
    <row r="60" spans="1:23">
      <c r="A60" s="136" t="s">
        <v>55</v>
      </c>
      <c r="B60" s="136">
        <v>135</v>
      </c>
      <c r="C60" s="136">
        <v>51</v>
      </c>
      <c r="D60" s="136">
        <v>20</v>
      </c>
      <c r="E60" s="136">
        <v>12.1</v>
      </c>
      <c r="F60" s="136">
        <v>22.5</v>
      </c>
      <c r="G60" s="137">
        <v>3.8849999999999998</v>
      </c>
      <c r="H60" s="140" t="s">
        <v>56</v>
      </c>
      <c r="I60" s="136">
        <f t="shared" si="0"/>
        <v>1.9424999999999999</v>
      </c>
      <c r="V60" s="136">
        <f t="shared" si="2"/>
        <v>23</v>
      </c>
      <c r="W60" s="136">
        <f t="shared" si="1"/>
        <v>2.6904761904761907</v>
      </c>
    </row>
    <row r="61" spans="1:23">
      <c r="A61" s="136" t="s">
        <v>55</v>
      </c>
      <c r="B61" s="136">
        <v>137</v>
      </c>
      <c r="C61" s="136">
        <v>51</v>
      </c>
      <c r="D61" s="136">
        <v>22.1</v>
      </c>
      <c r="E61" s="136">
        <v>13.5</v>
      </c>
      <c r="F61" s="136">
        <v>26.25</v>
      </c>
      <c r="G61" s="137">
        <v>3.91</v>
      </c>
      <c r="H61" s="140" t="s">
        <v>56</v>
      </c>
      <c r="I61" s="136">
        <f t="shared" si="0"/>
        <v>1.9550000000000001</v>
      </c>
      <c r="V61" s="136">
        <f t="shared" si="2"/>
        <v>24</v>
      </c>
      <c r="W61" s="136">
        <f t="shared" si="1"/>
        <v>2.75</v>
      </c>
    </row>
    <row r="62" spans="1:23">
      <c r="A62" s="136" t="s">
        <v>55</v>
      </c>
      <c r="B62" s="136">
        <v>139</v>
      </c>
      <c r="C62" s="136">
        <v>51</v>
      </c>
      <c r="D62" s="136">
        <v>18.100000000000001</v>
      </c>
      <c r="E62" s="136">
        <v>11.9</v>
      </c>
      <c r="F62" s="136">
        <v>21.75</v>
      </c>
      <c r="G62" s="137">
        <v>4.7149999999999999</v>
      </c>
      <c r="H62" s="140" t="s">
        <v>56</v>
      </c>
      <c r="I62" s="136">
        <f t="shared" si="0"/>
        <v>2.3574999999999999</v>
      </c>
      <c r="V62" s="136">
        <f t="shared" si="2"/>
        <v>25</v>
      </c>
      <c r="W62" s="136">
        <f t="shared" si="1"/>
        <v>2.8076923076923075</v>
      </c>
    </row>
    <row r="63" spans="1:23">
      <c r="A63" s="136" t="s">
        <v>55</v>
      </c>
      <c r="B63" s="136">
        <v>129</v>
      </c>
      <c r="C63" s="136">
        <v>51</v>
      </c>
      <c r="D63" s="136">
        <v>20.399999999999999</v>
      </c>
      <c r="E63" s="136">
        <v>11.1</v>
      </c>
      <c r="F63" s="136">
        <v>21.75</v>
      </c>
      <c r="G63" s="137">
        <v>4.2750000000000004</v>
      </c>
      <c r="H63" s="140" t="s">
        <v>56</v>
      </c>
      <c r="I63" s="136">
        <f t="shared" si="0"/>
        <v>2.1375000000000002</v>
      </c>
      <c r="V63" s="136">
        <f t="shared" si="2"/>
        <v>26</v>
      </c>
      <c r="W63" s="136">
        <f t="shared" si="1"/>
        <v>2.8636363636363638</v>
      </c>
    </row>
    <row r="64" spans="1:23">
      <c r="A64" s="136" t="s">
        <v>55</v>
      </c>
      <c r="B64" s="136">
        <v>141</v>
      </c>
      <c r="C64" s="136">
        <v>62</v>
      </c>
      <c r="D64" s="136">
        <v>24.5</v>
      </c>
      <c r="E64" s="136">
        <v>16.5</v>
      </c>
      <c r="F64" s="136">
        <v>35.75</v>
      </c>
      <c r="G64" s="137">
        <v>5.98</v>
      </c>
      <c r="H64" s="140" t="s">
        <v>56</v>
      </c>
      <c r="I64" s="136">
        <f t="shared" si="0"/>
        <v>2.99</v>
      </c>
      <c r="V64" s="136">
        <f t="shared" si="2"/>
        <v>27</v>
      </c>
      <c r="W64" s="136">
        <f t="shared" si="1"/>
        <v>2.9179104477611939</v>
      </c>
    </row>
    <row r="65" spans="1:23">
      <c r="A65" s="136" t="s">
        <v>55</v>
      </c>
      <c r="B65" s="136">
        <v>143</v>
      </c>
      <c r="C65" s="136">
        <v>62</v>
      </c>
      <c r="D65" s="136">
        <v>26.6</v>
      </c>
      <c r="E65" s="136">
        <v>17.100000000000001</v>
      </c>
      <c r="F65" s="136">
        <v>32.5</v>
      </c>
      <c r="G65" s="137">
        <v>5.67</v>
      </c>
      <c r="H65" s="140" t="s">
        <v>56</v>
      </c>
      <c r="I65" s="136">
        <f t="shared" si="0"/>
        <v>2.835</v>
      </c>
      <c r="V65" s="136">
        <f t="shared" si="2"/>
        <v>28</v>
      </c>
      <c r="W65" s="136">
        <f t="shared" si="1"/>
        <v>2.9705882352941178</v>
      </c>
    </row>
    <row r="66" spans="1:23">
      <c r="A66" s="136" t="s">
        <v>55</v>
      </c>
      <c r="B66" s="136">
        <v>145</v>
      </c>
      <c r="C66" s="136">
        <v>62</v>
      </c>
      <c r="D66" s="136">
        <v>26.1</v>
      </c>
      <c r="E66" s="136">
        <v>15.9</v>
      </c>
      <c r="F66" s="136">
        <v>31.5</v>
      </c>
      <c r="G66" s="137">
        <v>5.91</v>
      </c>
      <c r="H66" s="140" t="s">
        <v>56</v>
      </c>
      <c r="I66" s="136">
        <f t="shared" si="0"/>
        <v>2.9550000000000001</v>
      </c>
      <c r="V66" s="136">
        <f t="shared" si="2"/>
        <v>29</v>
      </c>
      <c r="W66" s="136">
        <f t="shared" si="1"/>
        <v>3.0217391304347827</v>
      </c>
    </row>
    <row r="67" spans="1:23">
      <c r="A67" s="136" t="s">
        <v>55</v>
      </c>
      <c r="B67" s="136">
        <v>147</v>
      </c>
      <c r="C67" s="136">
        <v>62</v>
      </c>
      <c r="D67" s="136">
        <v>25.4</v>
      </c>
      <c r="E67" s="136">
        <v>9.5</v>
      </c>
      <c r="F67" s="136">
        <v>34.25</v>
      </c>
      <c r="G67" s="137">
        <v>6.5350000000000001</v>
      </c>
      <c r="H67" s="140" t="s">
        <v>56</v>
      </c>
      <c r="I67" s="136">
        <f t="shared" si="0"/>
        <v>3.2675000000000001</v>
      </c>
      <c r="V67" s="136">
        <f t="shared" si="2"/>
        <v>30</v>
      </c>
      <c r="W67" s="136">
        <f t="shared" si="1"/>
        <v>3.0714285714285716</v>
      </c>
    </row>
    <row r="68" spans="1:23">
      <c r="A68" s="136" t="s">
        <v>55</v>
      </c>
      <c r="B68" s="136">
        <v>149</v>
      </c>
      <c r="C68" s="136">
        <v>62</v>
      </c>
      <c r="D68" s="136">
        <v>26.7</v>
      </c>
      <c r="E68" s="136">
        <v>13.4</v>
      </c>
      <c r="F68" s="136">
        <v>33</v>
      </c>
      <c r="G68" s="137">
        <v>6.93</v>
      </c>
      <c r="H68" s="140" t="s">
        <v>56</v>
      </c>
      <c r="I68" s="136">
        <f t="shared" si="0"/>
        <v>3.4649999999999999</v>
      </c>
      <c r="V68" s="136">
        <f t="shared" si="2"/>
        <v>31</v>
      </c>
      <c r="W68" s="136">
        <f t="shared" si="1"/>
        <v>3.119718309859155</v>
      </c>
    </row>
    <row r="69" spans="1:23">
      <c r="A69" s="136" t="s">
        <v>55</v>
      </c>
      <c r="B69" s="136">
        <v>151</v>
      </c>
      <c r="C69" s="136">
        <v>62</v>
      </c>
      <c r="D69" s="136">
        <v>27.8</v>
      </c>
      <c r="E69" s="136">
        <v>18.399999999999999</v>
      </c>
      <c r="F69" s="136">
        <v>28.5</v>
      </c>
      <c r="G69" s="137">
        <v>6.1449999999999996</v>
      </c>
      <c r="H69" s="140" t="s">
        <v>56</v>
      </c>
      <c r="I69" s="136">
        <f t="shared" ref="I69:I132" si="3">G69/2</f>
        <v>3.0724999999999998</v>
      </c>
      <c r="V69" s="136">
        <f t="shared" si="2"/>
        <v>32</v>
      </c>
      <c r="W69" s="136">
        <f t="shared" si="1"/>
        <v>3.1666666666666665</v>
      </c>
    </row>
    <row r="70" spans="1:23">
      <c r="A70" s="136" t="s">
        <v>55</v>
      </c>
      <c r="B70" s="136">
        <v>153</v>
      </c>
      <c r="C70" s="136">
        <v>62</v>
      </c>
      <c r="D70" s="136">
        <v>24.9</v>
      </c>
      <c r="E70" s="136">
        <v>12.9</v>
      </c>
      <c r="F70" s="136">
        <v>25.25</v>
      </c>
      <c r="G70" s="137">
        <v>5.2949999999999999</v>
      </c>
      <c r="H70" s="140" t="s">
        <v>56</v>
      </c>
      <c r="I70" s="136">
        <f t="shared" si="3"/>
        <v>2.6475</v>
      </c>
      <c r="V70" s="136">
        <f t="shared" si="2"/>
        <v>33</v>
      </c>
      <c r="W70" s="136">
        <f t="shared" si="1"/>
        <v>3.2123287671232879</v>
      </c>
    </row>
    <row r="71" spans="1:23">
      <c r="A71" s="136" t="s">
        <v>55</v>
      </c>
      <c r="B71" s="136">
        <v>155</v>
      </c>
      <c r="C71" s="136">
        <v>62</v>
      </c>
      <c r="D71" s="136">
        <v>25</v>
      </c>
      <c r="E71" s="136">
        <v>15.3</v>
      </c>
      <c r="F71" s="136">
        <v>26.25</v>
      </c>
      <c r="G71" s="137">
        <v>5.03</v>
      </c>
      <c r="H71" s="140" t="s">
        <v>56</v>
      </c>
      <c r="I71" s="136">
        <f t="shared" si="3"/>
        <v>2.5150000000000001</v>
      </c>
      <c r="V71" s="136">
        <f t="shared" si="2"/>
        <v>34</v>
      </c>
      <c r="W71" s="136">
        <f t="shared" si="1"/>
        <v>3.2567567567567566</v>
      </c>
    </row>
    <row r="72" spans="1:23">
      <c r="A72" s="136" t="s">
        <v>55</v>
      </c>
      <c r="B72" s="136">
        <v>157</v>
      </c>
      <c r="C72" s="136">
        <v>62</v>
      </c>
      <c r="D72" s="136">
        <v>22.4</v>
      </c>
      <c r="E72" s="136">
        <v>17</v>
      </c>
      <c r="F72" s="136">
        <v>29.75</v>
      </c>
      <c r="G72" s="137">
        <v>4.83</v>
      </c>
      <c r="H72" s="140" t="s">
        <v>56</v>
      </c>
      <c r="I72" s="136">
        <f t="shared" si="3"/>
        <v>2.415</v>
      </c>
      <c r="V72" s="136">
        <f t="shared" si="2"/>
        <v>35</v>
      </c>
      <c r="W72" s="136">
        <f t="shared" si="1"/>
        <v>3.3</v>
      </c>
    </row>
    <row r="73" spans="1:23">
      <c r="A73" s="136" t="s">
        <v>55</v>
      </c>
      <c r="B73" s="136">
        <v>159</v>
      </c>
      <c r="C73" s="136">
        <v>62</v>
      </c>
      <c r="D73" s="136">
        <v>23.5</v>
      </c>
      <c r="E73" s="136">
        <v>15</v>
      </c>
      <c r="F73" s="136">
        <v>26.5</v>
      </c>
      <c r="G73" s="137">
        <v>4.0650000000000004</v>
      </c>
      <c r="H73" s="140" t="s">
        <v>56</v>
      </c>
      <c r="I73" s="136">
        <f t="shared" si="3"/>
        <v>2.0325000000000002</v>
      </c>
      <c r="V73" s="136">
        <f t="shared" si="2"/>
        <v>36</v>
      </c>
      <c r="W73" s="136">
        <f t="shared" si="1"/>
        <v>3.3421052631578947</v>
      </c>
    </row>
    <row r="74" spans="1:23">
      <c r="A74" s="136" t="s">
        <v>55</v>
      </c>
      <c r="B74" s="136">
        <v>173</v>
      </c>
      <c r="C74" s="136">
        <v>75</v>
      </c>
      <c r="D74" s="136">
        <v>25.1</v>
      </c>
      <c r="E74" s="136">
        <v>15.9</v>
      </c>
      <c r="F74" s="136">
        <v>30.75</v>
      </c>
      <c r="G74" s="137">
        <v>4.8550000000000004</v>
      </c>
      <c r="H74" s="140" t="s">
        <v>56</v>
      </c>
      <c r="I74" s="136">
        <f t="shared" si="3"/>
        <v>2.4275000000000002</v>
      </c>
      <c r="V74" s="136">
        <f t="shared" si="2"/>
        <v>37</v>
      </c>
      <c r="W74" s="136">
        <f t="shared" si="1"/>
        <v>3.383116883116883</v>
      </c>
    </row>
    <row r="75" spans="1:23">
      <c r="A75" s="136" t="s">
        <v>55</v>
      </c>
      <c r="B75" s="136">
        <v>175</v>
      </c>
      <c r="C75" s="136">
        <v>75</v>
      </c>
      <c r="D75" s="136">
        <v>24.1</v>
      </c>
      <c r="E75" s="136">
        <v>14</v>
      </c>
      <c r="F75" s="136">
        <v>39</v>
      </c>
      <c r="G75" s="137">
        <v>6.22</v>
      </c>
      <c r="H75" s="140" t="s">
        <v>56</v>
      </c>
      <c r="I75" s="136">
        <f t="shared" si="3"/>
        <v>3.11</v>
      </c>
      <c r="V75" s="136">
        <f t="shared" si="2"/>
        <v>38</v>
      </c>
      <c r="W75" s="136">
        <f t="shared" si="1"/>
        <v>3.4230769230769229</v>
      </c>
    </row>
    <row r="76" spans="1:23">
      <c r="A76" s="136" t="s">
        <v>55</v>
      </c>
      <c r="B76" s="136">
        <v>177</v>
      </c>
      <c r="C76" s="136">
        <v>75</v>
      </c>
      <c r="D76" s="136">
        <v>24.9</v>
      </c>
      <c r="E76" s="136">
        <v>16.399999999999999</v>
      </c>
      <c r="F76" s="136">
        <v>22</v>
      </c>
      <c r="G76" s="137">
        <v>2.5150000000000001</v>
      </c>
      <c r="H76" s="140" t="s">
        <v>56</v>
      </c>
      <c r="I76" s="136">
        <f t="shared" si="3"/>
        <v>1.2575000000000001</v>
      </c>
      <c r="V76" s="136">
        <f t="shared" si="2"/>
        <v>39</v>
      </c>
      <c r="W76" s="136">
        <f t="shared" si="1"/>
        <v>3.462025316455696</v>
      </c>
    </row>
    <row r="77" spans="1:23">
      <c r="A77" s="136" t="s">
        <v>55</v>
      </c>
      <c r="B77" s="136">
        <v>179</v>
      </c>
      <c r="C77" s="136">
        <v>75</v>
      </c>
      <c r="D77" s="136">
        <v>27.5</v>
      </c>
      <c r="E77" s="136">
        <v>19.600000000000001</v>
      </c>
      <c r="F77" s="136">
        <v>30.75</v>
      </c>
      <c r="G77" s="137">
        <v>3.82</v>
      </c>
      <c r="H77" s="140" t="s">
        <v>56</v>
      </c>
      <c r="I77" s="136">
        <f t="shared" si="3"/>
        <v>1.91</v>
      </c>
      <c r="V77" s="136">
        <f t="shared" si="2"/>
        <v>40</v>
      </c>
      <c r="W77" s="136">
        <f t="shared" si="1"/>
        <v>3.5</v>
      </c>
    </row>
    <row r="78" spans="1:23">
      <c r="A78" s="136" t="s">
        <v>55</v>
      </c>
      <c r="B78" s="136">
        <v>181</v>
      </c>
      <c r="C78" s="136">
        <v>75</v>
      </c>
      <c r="D78" s="136">
        <v>30.8</v>
      </c>
      <c r="E78" s="136">
        <v>17.5</v>
      </c>
      <c r="F78" s="136">
        <v>50</v>
      </c>
      <c r="G78" s="137">
        <v>8.83</v>
      </c>
      <c r="H78" s="140" t="s">
        <v>56</v>
      </c>
      <c r="I78" s="136">
        <f t="shared" si="3"/>
        <v>4.415</v>
      </c>
      <c r="V78" s="136">
        <f t="shared" si="2"/>
        <v>41</v>
      </c>
      <c r="W78" s="136">
        <f t="shared" si="1"/>
        <v>3.5370370370370372</v>
      </c>
    </row>
    <row r="79" spans="1:23">
      <c r="A79" s="136" t="s">
        <v>55</v>
      </c>
      <c r="B79" s="136">
        <v>183</v>
      </c>
      <c r="C79" s="136">
        <v>75</v>
      </c>
      <c r="D79" s="136">
        <v>29.6</v>
      </c>
      <c r="E79" s="136">
        <v>18.5</v>
      </c>
      <c r="F79" s="136">
        <v>34</v>
      </c>
      <c r="G79" s="137">
        <v>4.665</v>
      </c>
      <c r="H79" s="140" t="s">
        <v>56</v>
      </c>
      <c r="I79" s="136">
        <f t="shared" si="3"/>
        <v>2.3325</v>
      </c>
      <c r="V79" s="136">
        <f t="shared" si="2"/>
        <v>42</v>
      </c>
      <c r="W79" s="136">
        <f t="shared" si="1"/>
        <v>3.5731707317073171</v>
      </c>
    </row>
    <row r="80" spans="1:23">
      <c r="A80" s="136" t="s">
        <v>55</v>
      </c>
      <c r="B80" s="136">
        <v>185</v>
      </c>
      <c r="C80" s="136">
        <v>75</v>
      </c>
      <c r="D80" s="136">
        <v>27.4</v>
      </c>
      <c r="E80" s="136">
        <v>22.4</v>
      </c>
      <c r="F80" s="136">
        <v>37.75</v>
      </c>
      <c r="G80" s="137">
        <v>3.93</v>
      </c>
      <c r="H80" s="140" t="s">
        <v>56</v>
      </c>
      <c r="I80" s="136">
        <f t="shared" si="3"/>
        <v>1.9650000000000001</v>
      </c>
      <c r="V80" s="136">
        <f t="shared" si="2"/>
        <v>43</v>
      </c>
      <c r="W80" s="136">
        <f t="shared" si="1"/>
        <v>3.6084337349397591</v>
      </c>
    </row>
    <row r="81" spans="1:23">
      <c r="A81" s="136" t="s">
        <v>55</v>
      </c>
      <c r="B81" s="136">
        <v>187</v>
      </c>
      <c r="C81" s="136">
        <v>75</v>
      </c>
      <c r="D81" s="136">
        <v>27.4</v>
      </c>
      <c r="E81" s="136">
        <v>19</v>
      </c>
      <c r="F81" s="136">
        <v>32.75</v>
      </c>
      <c r="G81" s="137">
        <v>3.835</v>
      </c>
      <c r="H81" s="140" t="s">
        <v>56</v>
      </c>
      <c r="I81" s="136">
        <f t="shared" si="3"/>
        <v>1.9175</v>
      </c>
      <c r="V81" s="136">
        <f t="shared" si="2"/>
        <v>44</v>
      </c>
      <c r="W81" s="136">
        <f t="shared" si="1"/>
        <v>3.6428571428571428</v>
      </c>
    </row>
    <row r="82" spans="1:23">
      <c r="A82" s="136" t="s">
        <v>55</v>
      </c>
      <c r="B82" s="136">
        <v>189</v>
      </c>
      <c r="C82" s="136">
        <v>75</v>
      </c>
      <c r="D82" s="136">
        <v>22.8</v>
      </c>
      <c r="E82" s="136">
        <v>12.1</v>
      </c>
      <c r="F82" s="136">
        <v>35</v>
      </c>
      <c r="G82" s="137">
        <v>5.4349999999999996</v>
      </c>
      <c r="H82" s="140" t="s">
        <v>56</v>
      </c>
      <c r="I82" s="136">
        <f t="shared" si="3"/>
        <v>2.7174999999999998</v>
      </c>
      <c r="V82" s="136">
        <f t="shared" si="2"/>
        <v>45</v>
      </c>
      <c r="W82" s="136">
        <f t="shared" si="1"/>
        <v>3.6764705882352939</v>
      </c>
    </row>
    <row r="83" spans="1:23">
      <c r="A83" s="136" t="s">
        <v>55</v>
      </c>
      <c r="B83" s="136">
        <v>191</v>
      </c>
      <c r="C83" s="136">
        <v>75</v>
      </c>
      <c r="D83" s="136">
        <v>32.200000000000003</v>
      </c>
      <c r="E83" s="136">
        <v>20.100000000000001</v>
      </c>
      <c r="F83" s="136">
        <v>42.5</v>
      </c>
      <c r="G83" s="137">
        <v>5.7249999999999996</v>
      </c>
      <c r="H83" s="140" t="s">
        <v>56</v>
      </c>
      <c r="I83" s="136">
        <f t="shared" si="3"/>
        <v>2.8624999999999998</v>
      </c>
      <c r="V83" s="136">
        <f t="shared" si="2"/>
        <v>46</v>
      </c>
      <c r="W83" s="136">
        <f t="shared" si="1"/>
        <v>3.7093023255813953</v>
      </c>
    </row>
    <row r="84" spans="1:23">
      <c r="A84" s="136" t="s">
        <v>55</v>
      </c>
      <c r="B84" s="136">
        <v>193</v>
      </c>
      <c r="C84" s="136">
        <v>77</v>
      </c>
      <c r="D84" s="136">
        <v>24.2</v>
      </c>
      <c r="E84" s="136">
        <v>12.24</v>
      </c>
      <c r="F84" s="136">
        <v>38.25</v>
      </c>
      <c r="G84" s="137">
        <v>6.92</v>
      </c>
      <c r="H84" s="140" t="s">
        <v>56</v>
      </c>
      <c r="I84" s="136">
        <f t="shared" si="3"/>
        <v>3.46</v>
      </c>
      <c r="V84" s="136">
        <f t="shared" si="2"/>
        <v>47</v>
      </c>
      <c r="W84" s="136">
        <f t="shared" si="1"/>
        <v>3.7413793103448274</v>
      </c>
    </row>
    <row r="85" spans="1:23">
      <c r="A85" s="136" t="s">
        <v>55</v>
      </c>
      <c r="B85" s="136">
        <v>195</v>
      </c>
      <c r="C85" s="136">
        <v>77</v>
      </c>
      <c r="D85" s="136">
        <v>24.81</v>
      </c>
      <c r="E85" s="136">
        <v>18.239999999999998</v>
      </c>
      <c r="F85" s="136">
        <v>36</v>
      </c>
      <c r="G85" s="137">
        <v>4.5199999999999996</v>
      </c>
      <c r="H85" s="140" t="s">
        <v>56</v>
      </c>
      <c r="I85" s="136">
        <f t="shared" si="3"/>
        <v>2.2599999999999998</v>
      </c>
      <c r="V85" s="136">
        <f t="shared" si="2"/>
        <v>48</v>
      </c>
      <c r="W85" s="136">
        <f t="shared" si="1"/>
        <v>3.7727272727272729</v>
      </c>
    </row>
    <row r="86" spans="1:23">
      <c r="A86" s="136" t="s">
        <v>55</v>
      </c>
      <c r="B86" s="136">
        <v>197</v>
      </c>
      <c r="C86" s="136">
        <v>77</v>
      </c>
      <c r="D86" s="136">
        <v>25.73</v>
      </c>
      <c r="E86" s="136">
        <v>13.23</v>
      </c>
      <c r="F86" s="136">
        <v>35.5</v>
      </c>
      <c r="G86" s="137">
        <v>6.17</v>
      </c>
      <c r="H86" s="140" t="s">
        <v>56</v>
      </c>
      <c r="I86" s="136">
        <f t="shared" si="3"/>
        <v>3.085</v>
      </c>
      <c r="V86" s="136">
        <f t="shared" si="2"/>
        <v>49</v>
      </c>
      <c r="W86" s="136">
        <f t="shared" si="1"/>
        <v>3.803370786516854</v>
      </c>
    </row>
    <row r="87" spans="1:23">
      <c r="A87" s="136" t="s">
        <v>55</v>
      </c>
      <c r="B87" s="136">
        <v>199</v>
      </c>
      <c r="C87" s="136">
        <v>77</v>
      </c>
      <c r="D87" s="136">
        <v>26.66</v>
      </c>
      <c r="E87" s="136">
        <v>18.3</v>
      </c>
      <c r="F87" s="136">
        <v>45.5</v>
      </c>
      <c r="G87" s="137">
        <v>7.3449999999999998</v>
      </c>
      <c r="H87" s="140" t="s">
        <v>56</v>
      </c>
      <c r="I87" s="136">
        <f t="shared" si="3"/>
        <v>3.6724999999999999</v>
      </c>
      <c r="V87" s="136">
        <f t="shared" si="2"/>
        <v>50</v>
      </c>
      <c r="W87" s="136">
        <f t="shared" si="1"/>
        <v>3.8333333333333335</v>
      </c>
    </row>
    <row r="88" spans="1:23">
      <c r="A88" s="136" t="s">
        <v>55</v>
      </c>
      <c r="B88" s="136">
        <v>201</v>
      </c>
      <c r="C88" s="136">
        <v>77</v>
      </c>
      <c r="D88" s="136">
        <v>26.66</v>
      </c>
      <c r="E88" s="136">
        <v>17.39</v>
      </c>
      <c r="F88" s="136">
        <v>45</v>
      </c>
      <c r="G88" s="137">
        <v>6.3449999999999998</v>
      </c>
      <c r="H88" s="140" t="s">
        <v>56</v>
      </c>
      <c r="I88" s="136">
        <f t="shared" si="3"/>
        <v>3.1724999999999999</v>
      </c>
      <c r="V88" s="136">
        <f t="shared" si="2"/>
        <v>51</v>
      </c>
      <c r="W88" s="136">
        <f t="shared" si="1"/>
        <v>3.8626373626373627</v>
      </c>
    </row>
    <row r="89" spans="1:23">
      <c r="A89" s="136" t="s">
        <v>55</v>
      </c>
      <c r="B89" s="136">
        <v>203</v>
      </c>
      <c r="C89" s="136">
        <v>77</v>
      </c>
      <c r="D89" s="136">
        <v>29.07</v>
      </c>
      <c r="E89" s="136">
        <v>17.329999999999998</v>
      </c>
      <c r="F89" s="136">
        <v>49</v>
      </c>
      <c r="G89" s="137">
        <v>6.1849999999999996</v>
      </c>
      <c r="H89" s="140" t="s">
        <v>56</v>
      </c>
      <c r="I89" s="136">
        <f t="shared" si="3"/>
        <v>3.0924999999999998</v>
      </c>
      <c r="V89" s="136">
        <f t="shared" si="2"/>
        <v>52</v>
      </c>
      <c r="W89" s="136">
        <f t="shared" si="1"/>
        <v>3.8913043478260869</v>
      </c>
    </row>
    <row r="90" spans="1:23">
      <c r="A90" s="136" t="s">
        <v>55</v>
      </c>
      <c r="B90" s="136">
        <v>205</v>
      </c>
      <c r="C90" s="136">
        <v>77</v>
      </c>
      <c r="D90" s="136">
        <v>27.16</v>
      </c>
      <c r="E90" s="136">
        <v>16.41</v>
      </c>
      <c r="F90" s="136">
        <v>36.75</v>
      </c>
      <c r="G90" s="137">
        <v>5.41</v>
      </c>
      <c r="H90" s="140" t="s">
        <v>56</v>
      </c>
      <c r="I90" s="136">
        <f t="shared" si="3"/>
        <v>2.7050000000000001</v>
      </c>
      <c r="V90" s="136">
        <f t="shared" si="2"/>
        <v>53</v>
      </c>
      <c r="W90" s="136">
        <f t="shared" si="1"/>
        <v>3.9193548387096775</v>
      </c>
    </row>
    <row r="91" spans="1:23">
      <c r="A91" s="136" t="s">
        <v>55</v>
      </c>
      <c r="B91" s="136">
        <v>207</v>
      </c>
      <c r="C91" s="136">
        <v>77</v>
      </c>
      <c r="D91" s="136">
        <v>22.61</v>
      </c>
      <c r="E91" s="136">
        <v>14.46</v>
      </c>
      <c r="F91" s="136">
        <v>46.25</v>
      </c>
      <c r="G91" s="137">
        <v>5.585</v>
      </c>
      <c r="H91" s="140" t="s">
        <v>56</v>
      </c>
      <c r="I91" s="136">
        <f t="shared" si="3"/>
        <v>2.7925</v>
      </c>
      <c r="V91" s="136">
        <f t="shared" si="2"/>
        <v>54</v>
      </c>
      <c r="W91" s="136">
        <f t="shared" si="1"/>
        <v>3.9468085106382977</v>
      </c>
    </row>
    <row r="92" spans="1:23">
      <c r="A92" s="136" t="s">
        <v>55</v>
      </c>
      <c r="B92" s="136">
        <v>161</v>
      </c>
      <c r="C92" s="136">
        <v>81</v>
      </c>
      <c r="D92" s="136">
        <v>20.47</v>
      </c>
      <c r="E92" s="136">
        <v>13.45</v>
      </c>
      <c r="F92" s="136">
        <v>24.25</v>
      </c>
      <c r="G92" s="137">
        <v>3.4249999999999998</v>
      </c>
      <c r="H92" s="140" t="s">
        <v>56</v>
      </c>
      <c r="I92" s="136">
        <f t="shared" si="3"/>
        <v>1.7124999999999999</v>
      </c>
      <c r="V92" s="136">
        <f t="shared" si="2"/>
        <v>55</v>
      </c>
      <c r="W92" s="136">
        <f t="shared" si="1"/>
        <v>3.9736842105263159</v>
      </c>
    </row>
    <row r="93" spans="1:23">
      <c r="A93" s="136" t="s">
        <v>55</v>
      </c>
      <c r="B93" s="136">
        <v>163</v>
      </c>
      <c r="C93" s="136">
        <v>81</v>
      </c>
      <c r="D93" s="136">
        <v>23.87</v>
      </c>
      <c r="E93" s="136">
        <v>17.07</v>
      </c>
      <c r="F93" s="136">
        <v>28</v>
      </c>
      <c r="G93" s="137">
        <v>5.1749999999999998</v>
      </c>
      <c r="H93" s="140" t="s">
        <v>56</v>
      </c>
      <c r="I93" s="136">
        <f t="shared" si="3"/>
        <v>2.5874999999999999</v>
      </c>
      <c r="V93" s="136">
        <f t="shared" si="2"/>
        <v>56</v>
      </c>
      <c r="W93" s="136">
        <f t="shared" si="1"/>
        <v>4</v>
      </c>
    </row>
    <row r="94" spans="1:23">
      <c r="A94" s="136" t="s">
        <v>55</v>
      </c>
      <c r="B94" s="136">
        <v>167</v>
      </c>
      <c r="C94" s="136">
        <v>81</v>
      </c>
      <c r="D94" s="136">
        <v>16.57</v>
      </c>
      <c r="E94" s="136">
        <v>11.02</v>
      </c>
      <c r="F94" s="136">
        <v>21.25</v>
      </c>
      <c r="G94" s="137">
        <v>3.9950000000000001</v>
      </c>
      <c r="H94" s="140" t="s">
        <v>56</v>
      </c>
      <c r="I94" s="136">
        <f t="shared" si="3"/>
        <v>1.9975000000000001</v>
      </c>
      <c r="V94" s="136">
        <f t="shared" si="2"/>
        <v>57</v>
      </c>
      <c r="W94" s="136">
        <f t="shared" si="1"/>
        <v>4.0257731958762886</v>
      </c>
    </row>
    <row r="95" spans="1:23">
      <c r="A95" s="136" t="s">
        <v>55</v>
      </c>
      <c r="B95" s="136">
        <v>171</v>
      </c>
      <c r="C95" s="136">
        <v>81</v>
      </c>
      <c r="D95" s="136">
        <v>23.38</v>
      </c>
      <c r="E95" s="136">
        <v>17.93</v>
      </c>
      <c r="F95" s="136">
        <v>31</v>
      </c>
      <c r="G95" s="137">
        <v>6.15</v>
      </c>
      <c r="H95" s="140" t="s">
        <v>56</v>
      </c>
      <c r="I95" s="136">
        <f t="shared" si="3"/>
        <v>3.0750000000000002</v>
      </c>
      <c r="L95" s="136" t="s">
        <v>1822</v>
      </c>
      <c r="N95" s="276">
        <v>5.2130000000000003E-2</v>
      </c>
      <c r="P95" s="136">
        <v>0</v>
      </c>
      <c r="Q95" s="136">
        <f>N96</f>
        <v>0.48138999999999998</v>
      </c>
      <c r="V95" s="136">
        <f t="shared" si="2"/>
        <v>58</v>
      </c>
      <c r="W95" s="136">
        <f t="shared" si="1"/>
        <v>4.0510204081632653</v>
      </c>
    </row>
    <row r="96" spans="1:23">
      <c r="A96" s="136" t="s">
        <v>55</v>
      </c>
      <c r="B96" s="136">
        <v>165</v>
      </c>
      <c r="C96" s="136">
        <v>81</v>
      </c>
      <c r="D96" s="136">
        <v>23.1</v>
      </c>
      <c r="E96" s="136">
        <v>12.73</v>
      </c>
      <c r="F96" s="136">
        <v>25.25</v>
      </c>
      <c r="G96" s="137">
        <v>4.09</v>
      </c>
      <c r="H96" s="140" t="s">
        <v>56</v>
      </c>
      <c r="I96" s="136">
        <f t="shared" si="3"/>
        <v>2.0449999999999999</v>
      </c>
      <c r="L96" s="136" t="s">
        <v>1823</v>
      </c>
      <c r="N96" s="276">
        <v>0.48138999999999998</v>
      </c>
      <c r="P96" s="136">
        <v>200</v>
      </c>
      <c r="Q96" s="136">
        <f>N96+N95*P96</f>
        <v>10.907389999999999</v>
      </c>
      <c r="V96" s="136">
        <f t="shared" si="2"/>
        <v>59</v>
      </c>
      <c r="W96" s="136">
        <f t="shared" si="1"/>
        <v>4.0757575757575761</v>
      </c>
    </row>
    <row r="97" spans="1:12">
      <c r="A97" s="136" t="s">
        <v>55</v>
      </c>
      <c r="B97" s="136">
        <v>169</v>
      </c>
      <c r="C97" s="136">
        <v>81</v>
      </c>
      <c r="D97" s="136">
        <v>28.62</v>
      </c>
      <c r="E97" s="136">
        <v>19.260000000000002</v>
      </c>
      <c r="F97" s="136">
        <v>31.25</v>
      </c>
      <c r="G97" s="137">
        <v>4.2350000000000003</v>
      </c>
      <c r="H97" s="140" t="s">
        <v>56</v>
      </c>
      <c r="I97" s="136">
        <f t="shared" si="3"/>
        <v>2.1175000000000002</v>
      </c>
      <c r="L97" s="136" t="s">
        <v>1824</v>
      </c>
    </row>
    <row r="98" spans="1:12">
      <c r="A98" s="136" t="s">
        <v>55</v>
      </c>
      <c r="B98" s="136">
        <v>209</v>
      </c>
      <c r="C98" s="136">
        <v>115</v>
      </c>
      <c r="D98" s="136">
        <v>23.76</v>
      </c>
      <c r="E98" s="136">
        <v>14.74</v>
      </c>
      <c r="F98" s="136">
        <v>47.25</v>
      </c>
      <c r="G98" s="137">
        <v>9.2449999999999992</v>
      </c>
      <c r="H98" s="140" t="s">
        <v>56</v>
      </c>
      <c r="I98" s="136">
        <f t="shared" si="3"/>
        <v>4.6224999999999996</v>
      </c>
    </row>
    <row r="99" spans="1:12">
      <c r="A99" s="136" t="s">
        <v>55</v>
      </c>
      <c r="B99" s="136">
        <v>211</v>
      </c>
      <c r="C99" s="136">
        <v>115</v>
      </c>
      <c r="D99" s="136">
        <v>24.71</v>
      </c>
      <c r="E99" s="136">
        <v>13.43</v>
      </c>
      <c r="F99" s="136">
        <v>45.75</v>
      </c>
      <c r="G99" s="137">
        <v>7.32</v>
      </c>
      <c r="H99" s="140" t="s">
        <v>56</v>
      </c>
      <c r="I99" s="136">
        <f t="shared" si="3"/>
        <v>3.66</v>
      </c>
    </row>
    <row r="100" spans="1:12">
      <c r="A100" s="136" t="s">
        <v>55</v>
      </c>
      <c r="B100" s="136">
        <v>213</v>
      </c>
      <c r="C100" s="136">
        <v>115</v>
      </c>
      <c r="D100" s="136">
        <v>21.26</v>
      </c>
      <c r="E100" s="136">
        <v>12.94</v>
      </c>
      <c r="F100" s="136">
        <v>46.75</v>
      </c>
      <c r="G100" s="137">
        <v>5.47</v>
      </c>
      <c r="H100" s="140" t="s">
        <v>56</v>
      </c>
      <c r="I100" s="136">
        <f t="shared" si="3"/>
        <v>2.7349999999999999</v>
      </c>
    </row>
    <row r="101" spans="1:12">
      <c r="A101" s="136" t="s">
        <v>55</v>
      </c>
      <c r="B101" s="136">
        <v>215</v>
      </c>
      <c r="C101" s="136">
        <v>115</v>
      </c>
      <c r="D101" s="136">
        <v>24.94</v>
      </c>
      <c r="E101" s="136">
        <v>18.62</v>
      </c>
      <c r="F101" s="136">
        <v>44.25</v>
      </c>
      <c r="G101" s="137">
        <v>6.085</v>
      </c>
      <c r="H101" s="140" t="s">
        <v>56</v>
      </c>
      <c r="I101" s="136">
        <f t="shared" si="3"/>
        <v>3.0425</v>
      </c>
    </row>
    <row r="102" spans="1:12">
      <c r="A102" s="136" t="s">
        <v>55</v>
      </c>
      <c r="B102" s="136">
        <v>217</v>
      </c>
      <c r="C102" s="136">
        <v>115</v>
      </c>
      <c r="D102" s="136">
        <v>30</v>
      </c>
      <c r="E102" s="136">
        <v>19.36</v>
      </c>
      <c r="F102" s="136">
        <v>48.5</v>
      </c>
      <c r="G102" s="137">
        <v>6.53</v>
      </c>
      <c r="H102" s="140" t="s">
        <v>56</v>
      </c>
      <c r="I102" s="136">
        <f t="shared" si="3"/>
        <v>3.2650000000000001</v>
      </c>
    </row>
    <row r="103" spans="1:12">
      <c r="A103" s="136" t="s">
        <v>55</v>
      </c>
      <c r="B103" s="136">
        <v>221</v>
      </c>
      <c r="C103" s="136">
        <v>118</v>
      </c>
      <c r="D103" s="136">
        <v>22.57</v>
      </c>
      <c r="E103" s="136">
        <v>14.31</v>
      </c>
      <c r="F103" s="136">
        <v>38.25</v>
      </c>
      <c r="G103" s="137">
        <v>7.5</v>
      </c>
      <c r="H103" s="140" t="s">
        <v>56</v>
      </c>
      <c r="I103" s="136">
        <f t="shared" si="3"/>
        <v>3.75</v>
      </c>
    </row>
    <row r="104" spans="1:12">
      <c r="A104" s="136" t="s">
        <v>55</v>
      </c>
      <c r="B104" s="136">
        <v>223</v>
      </c>
      <c r="C104" s="136">
        <v>118</v>
      </c>
      <c r="D104" s="136">
        <v>28.7</v>
      </c>
      <c r="E104" s="136">
        <v>15.53</v>
      </c>
      <c r="F104" s="136">
        <v>47</v>
      </c>
      <c r="G104" s="137">
        <v>7.59</v>
      </c>
      <c r="H104" s="140" t="s">
        <v>56</v>
      </c>
      <c r="I104" s="136">
        <f t="shared" si="3"/>
        <v>3.7949999999999999</v>
      </c>
    </row>
    <row r="105" spans="1:12">
      <c r="A105" s="136" t="s">
        <v>55</v>
      </c>
      <c r="B105" s="136">
        <v>219</v>
      </c>
      <c r="C105" s="136">
        <v>118</v>
      </c>
      <c r="D105" s="136">
        <v>22.48</v>
      </c>
      <c r="E105" s="136">
        <v>14.43</v>
      </c>
      <c r="F105" s="136">
        <v>39.75</v>
      </c>
      <c r="G105" s="137">
        <v>6.74</v>
      </c>
      <c r="H105" s="140" t="s">
        <v>56</v>
      </c>
      <c r="I105" s="136">
        <f t="shared" si="3"/>
        <v>3.37</v>
      </c>
    </row>
    <row r="106" spans="1:12">
      <c r="A106" s="136" t="s">
        <v>55</v>
      </c>
      <c r="B106" s="136">
        <v>225</v>
      </c>
      <c r="C106" s="136">
        <v>118</v>
      </c>
      <c r="D106" s="136">
        <v>20.74</v>
      </c>
      <c r="E106" s="136">
        <v>14.13</v>
      </c>
      <c r="F106" s="136">
        <v>36.25</v>
      </c>
      <c r="G106" s="137">
        <v>7.9550000000000001</v>
      </c>
      <c r="H106" s="140" t="s">
        <v>56</v>
      </c>
      <c r="I106" s="136">
        <f t="shared" si="3"/>
        <v>3.9775</v>
      </c>
    </row>
    <row r="107" spans="1:12" ht="13.5" customHeight="1">
      <c r="A107" s="136" t="s">
        <v>55</v>
      </c>
      <c r="B107" s="136">
        <v>227</v>
      </c>
      <c r="C107" s="136">
        <v>118</v>
      </c>
      <c r="D107" s="136">
        <v>21.27</v>
      </c>
      <c r="E107" s="136">
        <v>13.11</v>
      </c>
      <c r="F107" s="136">
        <v>40.75</v>
      </c>
      <c r="G107" s="137">
        <v>6.0549999999999997</v>
      </c>
      <c r="H107" s="140" t="s">
        <v>56</v>
      </c>
      <c r="I107" s="136">
        <f t="shared" si="3"/>
        <v>3.0274999999999999</v>
      </c>
    </row>
    <row r="108" spans="1:12">
      <c r="A108" s="136" t="s">
        <v>55</v>
      </c>
      <c r="F108" s="136">
        <v>4</v>
      </c>
      <c r="G108" s="137">
        <v>1.009253008808064</v>
      </c>
      <c r="H108" s="140" t="s">
        <v>57</v>
      </c>
      <c r="I108" s="136">
        <f t="shared" si="3"/>
        <v>0.50462650440403201</v>
      </c>
    </row>
    <row r="109" spans="1:12">
      <c r="A109" s="136" t="s">
        <v>55</v>
      </c>
      <c r="F109" s="136">
        <v>6</v>
      </c>
      <c r="G109" s="137">
        <v>1.4272992929222168</v>
      </c>
      <c r="H109" s="140" t="s">
        <v>57</v>
      </c>
      <c r="I109" s="136">
        <f t="shared" si="3"/>
        <v>0.7136496464611084</v>
      </c>
    </row>
    <row r="110" spans="1:12">
      <c r="A110" s="136" t="s">
        <v>55</v>
      </c>
      <c r="F110" s="136">
        <v>8</v>
      </c>
      <c r="G110" s="137">
        <v>1.7480774889473265</v>
      </c>
      <c r="H110" s="140" t="s">
        <v>57</v>
      </c>
      <c r="I110" s="136">
        <f t="shared" si="3"/>
        <v>0.87403874447366325</v>
      </c>
    </row>
    <row r="111" spans="1:12">
      <c r="A111" s="136" t="s">
        <v>55</v>
      </c>
      <c r="F111" s="136">
        <v>10</v>
      </c>
      <c r="G111" s="137">
        <v>2.0498025508877769</v>
      </c>
      <c r="H111" s="140" t="s">
        <v>57</v>
      </c>
      <c r="I111" s="136">
        <f t="shared" si="3"/>
        <v>1.0249012754438884</v>
      </c>
    </row>
    <row r="112" spans="1:12">
      <c r="A112" s="136" t="s">
        <v>55</v>
      </c>
      <c r="F112" s="136">
        <v>12</v>
      </c>
      <c r="G112" s="137">
        <v>2.3124891541124435</v>
      </c>
      <c r="H112" s="140" t="s">
        <v>57</v>
      </c>
      <c r="I112" s="136">
        <f t="shared" si="3"/>
        <v>1.1562445770562217</v>
      </c>
    </row>
    <row r="113" spans="1:9">
      <c r="A113" s="136" t="s">
        <v>55</v>
      </c>
      <c r="F113" s="136">
        <v>14</v>
      </c>
      <c r="G113" s="137">
        <v>2.548238936628457</v>
      </c>
      <c r="H113" s="140" t="s">
        <v>57</v>
      </c>
      <c r="I113" s="136">
        <f t="shared" si="3"/>
        <v>1.2741194683142285</v>
      </c>
    </row>
    <row r="114" spans="1:9">
      <c r="A114" s="136" t="s">
        <v>55</v>
      </c>
      <c r="F114" s="136">
        <v>16</v>
      </c>
      <c r="G114" s="137">
        <v>2.763953195770684</v>
      </c>
      <c r="H114" s="140" t="s">
        <v>57</v>
      </c>
      <c r="I114" s="136">
        <f t="shared" si="3"/>
        <v>1.381976597885342</v>
      </c>
    </row>
    <row r="115" spans="1:9">
      <c r="A115" s="136" t="s">
        <v>55</v>
      </c>
      <c r="F115" s="136">
        <v>18</v>
      </c>
      <c r="G115" s="137">
        <v>2.9640095915284457</v>
      </c>
      <c r="H115" s="140" t="s">
        <v>57</v>
      </c>
      <c r="I115" s="136">
        <f t="shared" si="3"/>
        <v>1.4820047957642228</v>
      </c>
    </row>
    <row r="116" spans="1:9">
      <c r="A116" s="136" t="s">
        <v>55</v>
      </c>
      <c r="F116" s="136">
        <v>20</v>
      </c>
      <c r="G116" s="137">
        <v>3.1513915099419605</v>
      </c>
      <c r="H116" s="140" t="s">
        <v>57</v>
      </c>
      <c r="I116" s="136">
        <f t="shared" si="3"/>
        <v>1.5756957549709802</v>
      </c>
    </row>
    <row r="117" spans="1:9">
      <c r="A117" s="136" t="s">
        <v>55</v>
      </c>
      <c r="F117" s="136">
        <v>22</v>
      </c>
      <c r="G117" s="137">
        <v>3.3473135487536019</v>
      </c>
      <c r="H117" s="140" t="s">
        <v>57</v>
      </c>
      <c r="I117" s="136">
        <f t="shared" si="3"/>
        <v>1.6736567743768009</v>
      </c>
    </row>
    <row r="118" spans="1:9">
      <c r="A118" s="136" t="s">
        <v>55</v>
      </c>
      <c r="F118" s="136">
        <v>24</v>
      </c>
      <c r="G118" s="137">
        <v>3.5503621636219189</v>
      </c>
      <c r="H118" s="140" t="s">
        <v>57</v>
      </c>
      <c r="I118" s="136">
        <f t="shared" si="3"/>
        <v>1.7751810818109595</v>
      </c>
    </row>
    <row r="119" spans="1:9">
      <c r="A119" s="136" t="s">
        <v>55</v>
      </c>
      <c r="F119" s="136">
        <v>26</v>
      </c>
      <c r="G119" s="137">
        <v>3.7424103185095552</v>
      </c>
      <c r="H119" s="140" t="s">
        <v>57</v>
      </c>
      <c r="I119" s="136">
        <f t="shared" si="3"/>
        <v>1.8712051592547776</v>
      </c>
    </row>
    <row r="120" spans="1:9">
      <c r="A120" s="136" t="s">
        <v>55</v>
      </c>
      <c r="F120" s="136">
        <v>28</v>
      </c>
      <c r="G120" s="137">
        <v>3.9250730555360964</v>
      </c>
      <c r="H120" s="140" t="s">
        <v>57</v>
      </c>
      <c r="I120" s="136">
        <f t="shared" si="3"/>
        <v>1.9625365277680482</v>
      </c>
    </row>
    <row r="121" spans="1:9">
      <c r="A121" s="136" t="s">
        <v>55</v>
      </c>
      <c r="F121" s="136">
        <v>30</v>
      </c>
      <c r="G121" s="137">
        <v>4.1151046092387089</v>
      </c>
      <c r="H121" s="140" t="s">
        <v>57</v>
      </c>
      <c r="I121" s="136">
        <f t="shared" si="3"/>
        <v>2.0575523046193545</v>
      </c>
    </row>
    <row r="122" spans="1:9">
      <c r="A122" s="136" t="s">
        <v>55</v>
      </c>
      <c r="F122" s="136">
        <v>32</v>
      </c>
      <c r="G122" s="137">
        <v>4.2967398569915609</v>
      </c>
      <c r="H122" s="140" t="s">
        <v>57</v>
      </c>
      <c r="I122" s="136">
        <f t="shared" si="3"/>
        <v>2.1483699284957805</v>
      </c>
    </row>
    <row r="123" spans="1:9">
      <c r="A123" s="136" t="s">
        <v>55</v>
      </c>
      <c r="F123" s="136">
        <v>34</v>
      </c>
      <c r="G123" s="137">
        <v>4.4852184792733976</v>
      </c>
      <c r="H123" s="140" t="s">
        <v>57</v>
      </c>
      <c r="I123" s="136">
        <f t="shared" si="3"/>
        <v>2.2426092396366988</v>
      </c>
    </row>
    <row r="124" spans="1:9">
      <c r="A124" s="136" t="s">
        <v>55</v>
      </c>
      <c r="F124" s="136">
        <v>36</v>
      </c>
      <c r="G124" s="137">
        <v>4.6660900350262517</v>
      </c>
      <c r="H124" s="140" t="s">
        <v>57</v>
      </c>
      <c r="I124" s="136">
        <f t="shared" si="3"/>
        <v>2.3330450175131259</v>
      </c>
    </row>
    <row r="125" spans="1:9">
      <c r="A125" s="136" t="s">
        <v>55</v>
      </c>
      <c r="F125" s="136">
        <v>38</v>
      </c>
      <c r="G125" s="137">
        <v>4.8533423099551207</v>
      </c>
      <c r="H125" s="140" t="s">
        <v>57</v>
      </c>
      <c r="I125" s="136">
        <f t="shared" si="3"/>
        <v>2.4266711549775604</v>
      </c>
    </row>
    <row r="126" spans="1:9">
      <c r="A126" s="136" t="s">
        <v>55</v>
      </c>
      <c r="F126" s="136">
        <v>40</v>
      </c>
      <c r="G126" s="137">
        <v>5.1585566280661199</v>
      </c>
      <c r="H126" s="140" t="s">
        <v>57</v>
      </c>
      <c r="I126" s="136">
        <f t="shared" si="3"/>
        <v>2.57927831403306</v>
      </c>
    </row>
    <row r="127" spans="1:9">
      <c r="A127" s="136" t="s">
        <v>55</v>
      </c>
      <c r="F127" s="136">
        <v>42</v>
      </c>
      <c r="G127" s="137">
        <v>5.2442324668419795</v>
      </c>
      <c r="H127" s="140" t="s">
        <v>57</v>
      </c>
      <c r="I127" s="136">
        <f t="shared" si="3"/>
        <v>2.6221162334209898</v>
      </c>
    </row>
    <row r="128" spans="1:9">
      <c r="A128" s="136" t="s">
        <v>55</v>
      </c>
      <c r="F128" s="136">
        <v>44</v>
      </c>
      <c r="G128" s="137">
        <v>5.4583702097606759</v>
      </c>
      <c r="H128" s="140" t="s">
        <v>57</v>
      </c>
      <c r="I128" s="136">
        <f t="shared" si="3"/>
        <v>2.7291851048803379</v>
      </c>
    </row>
    <row r="129" spans="1:9">
      <c r="A129" s="136" t="s">
        <v>55</v>
      </c>
      <c r="F129" s="136">
        <v>46</v>
      </c>
      <c r="G129" s="137">
        <v>5.686851891536576</v>
      </c>
      <c r="H129" s="140" t="s">
        <v>57</v>
      </c>
      <c r="I129" s="136">
        <f t="shared" si="3"/>
        <v>2.843425945768288</v>
      </c>
    </row>
    <row r="130" spans="1:9">
      <c r="A130" s="136" t="s">
        <v>55</v>
      </c>
      <c r="F130" s="136">
        <v>48</v>
      </c>
      <c r="G130" s="137">
        <v>5.9387486383213766</v>
      </c>
      <c r="H130" s="140" t="s">
        <v>57</v>
      </c>
      <c r="I130" s="136">
        <f t="shared" si="3"/>
        <v>2.9693743191606883</v>
      </c>
    </row>
    <row r="131" spans="1:9">
      <c r="A131" s="136" t="s">
        <v>55</v>
      </c>
      <c r="F131" s="136">
        <v>50</v>
      </c>
      <c r="G131" s="137">
        <v>6.221453380035002</v>
      </c>
      <c r="H131" s="140" t="s">
        <v>57</v>
      </c>
      <c r="I131" s="136">
        <f t="shared" si="3"/>
        <v>3.110726690017501</v>
      </c>
    </row>
    <row r="132" spans="1:9">
      <c r="A132" s="136" t="s">
        <v>55</v>
      </c>
      <c r="C132" s="136">
        <v>70</v>
      </c>
      <c r="F132" s="136">
        <v>14</v>
      </c>
      <c r="G132" s="137">
        <v>2.5731003930322749</v>
      </c>
      <c r="H132" s="140" t="s">
        <v>58</v>
      </c>
      <c r="I132" s="136">
        <f t="shared" si="3"/>
        <v>1.2865501965161374</v>
      </c>
    </row>
    <row r="133" spans="1:9">
      <c r="A133" s="136" t="s">
        <v>55</v>
      </c>
      <c r="C133" s="136">
        <v>70</v>
      </c>
      <c r="F133" s="136">
        <v>16</v>
      </c>
      <c r="G133" s="137">
        <v>2.717496892263898</v>
      </c>
      <c r="H133" s="140" t="s">
        <v>58</v>
      </c>
      <c r="I133" s="136">
        <f t="shared" ref="I133:I196" si="4">G133/2</f>
        <v>1.358748446131949</v>
      </c>
    </row>
    <row r="134" spans="1:9">
      <c r="A134" s="136" t="s">
        <v>55</v>
      </c>
      <c r="C134" s="136">
        <v>70</v>
      </c>
      <c r="F134" s="136">
        <v>18</v>
      </c>
      <c r="G134" s="137">
        <v>2.9207370559031141</v>
      </c>
      <c r="H134" s="140" t="s">
        <v>58</v>
      </c>
      <c r="I134" s="136">
        <f t="shared" si="4"/>
        <v>1.460368527951557</v>
      </c>
    </row>
    <row r="135" spans="1:9">
      <c r="A135" s="136" t="s">
        <v>55</v>
      </c>
      <c r="C135" s="136">
        <v>70</v>
      </c>
      <c r="F135" s="136">
        <v>20</v>
      </c>
      <c r="G135" s="137">
        <v>3.1311251163856024</v>
      </c>
      <c r="H135" s="140" t="s">
        <v>58</v>
      </c>
      <c r="I135" s="136">
        <f t="shared" si="4"/>
        <v>1.5655625581928012</v>
      </c>
    </row>
    <row r="136" spans="1:9">
      <c r="A136" s="136" t="s">
        <v>55</v>
      </c>
      <c r="C136" s="136">
        <v>70</v>
      </c>
      <c r="F136" s="136">
        <v>22</v>
      </c>
      <c r="G136" s="137">
        <v>3.3662786498064814</v>
      </c>
      <c r="H136" s="140" t="s">
        <v>58</v>
      </c>
      <c r="I136" s="136">
        <f t="shared" si="4"/>
        <v>1.6831393249032407</v>
      </c>
    </row>
    <row r="137" spans="1:9">
      <c r="A137" s="136" t="s">
        <v>55</v>
      </c>
      <c r="C137" s="136">
        <v>70</v>
      </c>
      <c r="F137" s="136">
        <v>24</v>
      </c>
      <c r="G137" s="137">
        <v>3.6389134731737842</v>
      </c>
      <c r="H137" s="140" t="s">
        <v>58</v>
      </c>
      <c r="I137" s="136">
        <f t="shared" si="4"/>
        <v>1.8194567365868921</v>
      </c>
    </row>
    <row r="138" spans="1:9">
      <c r="A138" s="136" t="s">
        <v>55</v>
      </c>
      <c r="C138" s="136">
        <v>70</v>
      </c>
      <c r="F138" s="136">
        <v>26</v>
      </c>
      <c r="G138" s="137">
        <v>3.9412589924754986</v>
      </c>
      <c r="H138" s="140" t="s">
        <v>58</v>
      </c>
      <c r="I138" s="136">
        <f t="shared" si="4"/>
        <v>1.9706294962377493</v>
      </c>
    </row>
    <row r="139" spans="1:9">
      <c r="A139" s="136" t="s">
        <v>55</v>
      </c>
      <c r="C139" s="136">
        <v>70</v>
      </c>
      <c r="F139" s="136">
        <v>28</v>
      </c>
      <c r="G139" s="137">
        <v>4.2520585056228128</v>
      </c>
      <c r="H139" s="140" t="s">
        <v>58</v>
      </c>
      <c r="I139" s="136">
        <f t="shared" si="4"/>
        <v>2.1260292528114064</v>
      </c>
    </row>
    <row r="140" spans="1:9">
      <c r="A140" s="136" t="s">
        <v>55</v>
      </c>
      <c r="C140" s="136">
        <v>70</v>
      </c>
      <c r="F140" s="136">
        <v>30</v>
      </c>
      <c r="G140" s="137">
        <v>4.5695873482905069</v>
      </c>
      <c r="H140" s="140" t="s">
        <v>58</v>
      </c>
      <c r="I140" s="136">
        <f t="shared" si="4"/>
        <v>2.2847936741452535</v>
      </c>
    </row>
    <row r="141" spans="1:9">
      <c r="A141" s="136" t="s">
        <v>55</v>
      </c>
      <c r="C141" s="136">
        <v>70</v>
      </c>
      <c r="F141" s="136">
        <v>32</v>
      </c>
      <c r="G141" s="137">
        <v>4.8664417732131584</v>
      </c>
      <c r="H141" s="140" t="s">
        <v>58</v>
      </c>
      <c r="I141" s="136">
        <f t="shared" si="4"/>
        <v>2.4332208866065792</v>
      </c>
    </row>
    <row r="142" spans="1:9">
      <c r="A142" s="136" t="s">
        <v>55</v>
      </c>
      <c r="C142" s="136">
        <v>70</v>
      </c>
      <c r="F142" s="136">
        <v>34</v>
      </c>
      <c r="G142" s="137">
        <v>5.1213996740680523</v>
      </c>
      <c r="H142" s="140" t="s">
        <v>58</v>
      </c>
      <c r="I142" s="136">
        <f t="shared" si="4"/>
        <v>2.5606998370340261</v>
      </c>
    </row>
    <row r="143" spans="1:9">
      <c r="A143" s="136" t="s">
        <v>55</v>
      </c>
      <c r="C143" s="136">
        <v>70</v>
      </c>
      <c r="F143" s="136">
        <v>36</v>
      </c>
      <c r="G143" s="137">
        <v>5.3642533227854443</v>
      </c>
      <c r="H143" s="140" t="s">
        <v>58</v>
      </c>
      <c r="I143" s="136">
        <f t="shared" si="4"/>
        <v>2.6821266613927222</v>
      </c>
    </row>
    <row r="144" spans="1:9">
      <c r="A144" s="136" t="s">
        <v>55</v>
      </c>
      <c r="C144" s="136">
        <v>70</v>
      </c>
      <c r="F144" s="136">
        <v>38</v>
      </c>
      <c r="G144" s="137">
        <v>5.5623485091339298</v>
      </c>
      <c r="H144" s="140" t="s">
        <v>58</v>
      </c>
      <c r="I144" s="136">
        <f t="shared" si="4"/>
        <v>2.7811742545669649</v>
      </c>
    </row>
    <row r="145" spans="1:9">
      <c r="A145" s="136" t="s">
        <v>55</v>
      </c>
      <c r="C145" s="136">
        <v>70</v>
      </c>
      <c r="F145" s="136">
        <v>40</v>
      </c>
      <c r="G145" s="137">
        <v>5.7091971716888672</v>
      </c>
      <c r="H145" s="140" t="s">
        <v>58</v>
      </c>
      <c r="I145" s="136">
        <f t="shared" si="4"/>
        <v>2.8545985858444336</v>
      </c>
    </row>
    <row r="146" spans="1:9">
      <c r="A146" s="136" t="s">
        <v>55</v>
      </c>
      <c r="B146" s="136">
        <v>4</v>
      </c>
      <c r="C146" s="136">
        <v>158</v>
      </c>
      <c r="D146" s="136">
        <v>22</v>
      </c>
      <c r="E146" s="136">
        <v>14</v>
      </c>
      <c r="F146" s="136">
        <v>52</v>
      </c>
      <c r="G146" s="137">
        <v>8</v>
      </c>
      <c r="H146" s="140" t="s">
        <v>59</v>
      </c>
      <c r="I146" s="136">
        <f t="shared" si="4"/>
        <v>4</v>
      </c>
    </row>
    <row r="147" spans="1:9">
      <c r="A147" s="136" t="s">
        <v>55</v>
      </c>
      <c r="B147" s="136">
        <v>5</v>
      </c>
      <c r="C147" s="136">
        <v>180</v>
      </c>
      <c r="D147" s="136">
        <v>29</v>
      </c>
      <c r="E147" s="136">
        <v>13</v>
      </c>
      <c r="F147" s="136">
        <v>84</v>
      </c>
      <c r="G147" s="137">
        <v>9</v>
      </c>
      <c r="H147" s="140" t="s">
        <v>59</v>
      </c>
      <c r="I147" s="136">
        <f t="shared" si="4"/>
        <v>4.5</v>
      </c>
    </row>
    <row r="148" spans="1:9">
      <c r="A148" s="136" t="s">
        <v>55</v>
      </c>
      <c r="B148" s="136">
        <v>6</v>
      </c>
      <c r="C148" s="136">
        <v>170</v>
      </c>
      <c r="D148" s="136">
        <v>21.5</v>
      </c>
      <c r="E148" s="136">
        <v>14</v>
      </c>
      <c r="F148" s="136">
        <v>44</v>
      </c>
      <c r="G148" s="137">
        <v>8</v>
      </c>
      <c r="H148" s="140" t="s">
        <v>59</v>
      </c>
      <c r="I148" s="136">
        <f t="shared" si="4"/>
        <v>4</v>
      </c>
    </row>
    <row r="149" spans="1:9">
      <c r="A149" s="136" t="s">
        <v>55</v>
      </c>
      <c r="B149" s="136">
        <v>7</v>
      </c>
      <c r="C149" s="136">
        <v>145</v>
      </c>
      <c r="D149" s="136">
        <v>28</v>
      </c>
      <c r="E149" s="136">
        <v>14</v>
      </c>
      <c r="F149" s="136">
        <v>72</v>
      </c>
      <c r="G149" s="137">
        <v>11</v>
      </c>
      <c r="H149" s="140" t="s">
        <v>59</v>
      </c>
      <c r="I149" s="136">
        <f t="shared" si="4"/>
        <v>5.5</v>
      </c>
    </row>
    <row r="150" spans="1:9">
      <c r="A150" s="136" t="s">
        <v>55</v>
      </c>
      <c r="B150" s="136">
        <v>8</v>
      </c>
      <c r="C150" s="136">
        <v>146</v>
      </c>
      <c r="D150" s="136">
        <v>24.9</v>
      </c>
      <c r="E150" s="136">
        <v>15.4</v>
      </c>
      <c r="F150" s="136">
        <v>61</v>
      </c>
      <c r="G150" s="137">
        <v>9.3000000000000007</v>
      </c>
      <c r="H150" s="140" t="s">
        <v>59</v>
      </c>
      <c r="I150" s="136">
        <f t="shared" si="4"/>
        <v>4.6500000000000004</v>
      </c>
    </row>
    <row r="151" spans="1:9">
      <c r="A151" s="136" t="s">
        <v>55</v>
      </c>
      <c r="B151" s="136">
        <v>9</v>
      </c>
      <c r="C151" s="136">
        <v>134</v>
      </c>
      <c r="D151" s="136">
        <v>27.3</v>
      </c>
      <c r="E151" s="136">
        <v>16.3</v>
      </c>
      <c r="F151" s="136">
        <v>57</v>
      </c>
      <c r="G151" s="137">
        <v>9.5500000000000007</v>
      </c>
      <c r="H151" s="140" t="s">
        <v>59</v>
      </c>
      <c r="I151" s="136">
        <f t="shared" si="4"/>
        <v>4.7750000000000004</v>
      </c>
    </row>
    <row r="152" spans="1:9">
      <c r="A152" s="136" t="s">
        <v>55</v>
      </c>
      <c r="B152" s="136">
        <v>10</v>
      </c>
      <c r="C152" s="136">
        <v>123</v>
      </c>
      <c r="D152" s="136">
        <v>26.9</v>
      </c>
      <c r="E152" s="136">
        <v>14.9</v>
      </c>
      <c r="F152" s="136">
        <v>59</v>
      </c>
      <c r="G152" s="137">
        <v>8</v>
      </c>
      <c r="H152" s="140" t="s">
        <v>59</v>
      </c>
      <c r="I152" s="136">
        <f t="shared" si="4"/>
        <v>4</v>
      </c>
    </row>
    <row r="153" spans="1:9">
      <c r="A153" s="136" t="s">
        <v>55</v>
      </c>
      <c r="B153" s="136">
        <v>11</v>
      </c>
      <c r="C153" s="136">
        <v>126</v>
      </c>
      <c r="D153" s="136">
        <v>24.2</v>
      </c>
      <c r="E153" s="136">
        <v>18.7</v>
      </c>
      <c r="F153" s="136">
        <v>38.5</v>
      </c>
      <c r="G153" s="137">
        <v>7.2</v>
      </c>
      <c r="H153" s="140" t="s">
        <v>59</v>
      </c>
      <c r="I153" s="136">
        <f t="shared" si="4"/>
        <v>3.6</v>
      </c>
    </row>
    <row r="154" spans="1:9">
      <c r="A154" s="136" t="s">
        <v>55</v>
      </c>
      <c r="B154" s="136">
        <v>12</v>
      </c>
      <c r="C154" s="136">
        <v>150</v>
      </c>
      <c r="D154" s="136">
        <v>18.3</v>
      </c>
      <c r="E154" s="136">
        <v>10.3</v>
      </c>
      <c r="F154" s="136">
        <v>58.5</v>
      </c>
      <c r="G154" s="137">
        <v>11.95</v>
      </c>
      <c r="H154" s="140" t="s">
        <v>59</v>
      </c>
      <c r="I154" s="136">
        <f t="shared" si="4"/>
        <v>5.9749999999999996</v>
      </c>
    </row>
    <row r="155" spans="1:9">
      <c r="A155" s="136" t="s">
        <v>55</v>
      </c>
      <c r="B155" s="136">
        <v>13</v>
      </c>
      <c r="C155" s="136">
        <v>141</v>
      </c>
      <c r="D155" s="136">
        <v>27.8</v>
      </c>
      <c r="E155" s="136">
        <v>19.8</v>
      </c>
      <c r="F155" s="136">
        <v>45</v>
      </c>
      <c r="G155" s="137">
        <v>6.95</v>
      </c>
      <c r="H155" s="140" t="s">
        <v>59</v>
      </c>
      <c r="I155" s="136">
        <f t="shared" si="4"/>
        <v>3.4750000000000001</v>
      </c>
    </row>
    <row r="156" spans="1:9">
      <c r="A156" s="136" t="s">
        <v>55</v>
      </c>
      <c r="B156" s="136">
        <v>14</v>
      </c>
      <c r="C156" s="136">
        <v>127</v>
      </c>
      <c r="D156" s="136">
        <v>23</v>
      </c>
      <c r="E156" s="136">
        <v>18</v>
      </c>
      <c r="F156" s="136">
        <v>38</v>
      </c>
      <c r="G156" s="137">
        <v>6.95</v>
      </c>
      <c r="H156" s="140" t="s">
        <v>59</v>
      </c>
      <c r="I156" s="136">
        <f t="shared" si="4"/>
        <v>3.4750000000000001</v>
      </c>
    </row>
    <row r="157" spans="1:9">
      <c r="A157" s="136" t="s">
        <v>55</v>
      </c>
      <c r="B157" s="136">
        <v>15</v>
      </c>
      <c r="C157" s="136">
        <v>128</v>
      </c>
      <c r="D157" s="136">
        <v>17.100000000000001</v>
      </c>
      <c r="E157" s="136">
        <v>11</v>
      </c>
      <c r="F157" s="136">
        <v>40</v>
      </c>
      <c r="G157" s="137">
        <v>5.45</v>
      </c>
      <c r="H157" s="140" t="s">
        <v>59</v>
      </c>
      <c r="I157" s="136">
        <f t="shared" si="4"/>
        <v>2.7250000000000001</v>
      </c>
    </row>
    <row r="158" spans="1:9">
      <c r="A158" s="136" t="s">
        <v>55</v>
      </c>
      <c r="B158" s="136">
        <v>16</v>
      </c>
      <c r="C158" s="136">
        <v>140</v>
      </c>
      <c r="D158" s="136">
        <v>16.899999999999999</v>
      </c>
      <c r="E158" s="136">
        <v>10.7</v>
      </c>
      <c r="F158" s="136">
        <v>42.5</v>
      </c>
      <c r="G158" s="137">
        <v>7.95</v>
      </c>
      <c r="H158" s="140" t="s">
        <v>59</v>
      </c>
      <c r="I158" s="136">
        <f t="shared" si="4"/>
        <v>3.9750000000000001</v>
      </c>
    </row>
    <row r="159" spans="1:9">
      <c r="A159" s="136" t="s">
        <v>55</v>
      </c>
      <c r="B159" s="136">
        <v>17</v>
      </c>
      <c r="C159" s="136">
        <v>128</v>
      </c>
      <c r="D159" s="136">
        <v>19.7</v>
      </c>
      <c r="E159" s="136">
        <v>12</v>
      </c>
      <c r="F159" s="136">
        <v>47.5</v>
      </c>
      <c r="G159" s="137">
        <v>6.7</v>
      </c>
      <c r="H159" s="140" t="s">
        <v>59</v>
      </c>
      <c r="I159" s="136">
        <f t="shared" si="4"/>
        <v>3.35</v>
      </c>
    </row>
    <row r="160" spans="1:9">
      <c r="A160" s="136" t="s">
        <v>55</v>
      </c>
      <c r="B160" s="136">
        <v>18</v>
      </c>
      <c r="C160" s="136">
        <v>183</v>
      </c>
      <c r="D160" s="136">
        <v>23.1</v>
      </c>
      <c r="E160" s="136">
        <v>13.6</v>
      </c>
      <c r="F160" s="136">
        <v>63</v>
      </c>
      <c r="G160" s="137">
        <v>9.85</v>
      </c>
      <c r="H160" s="140" t="s">
        <v>59</v>
      </c>
      <c r="I160" s="136">
        <f t="shared" si="4"/>
        <v>4.9249999999999998</v>
      </c>
    </row>
    <row r="161" spans="1:9">
      <c r="A161" s="136" t="s">
        <v>55</v>
      </c>
      <c r="B161" s="136">
        <v>19</v>
      </c>
      <c r="C161" s="136">
        <v>116</v>
      </c>
      <c r="D161" s="136">
        <v>21.6</v>
      </c>
      <c r="E161" s="136">
        <v>13.6</v>
      </c>
      <c r="F161" s="136">
        <v>49</v>
      </c>
      <c r="G161" s="137">
        <v>8.9</v>
      </c>
      <c r="H161" s="140" t="s">
        <v>59</v>
      </c>
      <c r="I161" s="136">
        <f t="shared" si="4"/>
        <v>4.45</v>
      </c>
    </row>
    <row r="162" spans="1:9">
      <c r="A162" s="136" t="s">
        <v>55</v>
      </c>
      <c r="B162" s="136">
        <v>20</v>
      </c>
      <c r="C162" s="136">
        <v>148</v>
      </c>
      <c r="D162" s="136">
        <v>26.5</v>
      </c>
      <c r="E162" s="136">
        <v>17</v>
      </c>
      <c r="F162" s="136">
        <v>52.5</v>
      </c>
      <c r="G162" s="137">
        <v>9.9</v>
      </c>
      <c r="H162" s="140" t="s">
        <v>59</v>
      </c>
      <c r="I162" s="136">
        <f t="shared" si="4"/>
        <v>4.95</v>
      </c>
    </row>
    <row r="163" spans="1:9">
      <c r="A163" s="136" t="s">
        <v>55</v>
      </c>
      <c r="B163" s="136">
        <v>21</v>
      </c>
      <c r="C163" s="136">
        <v>179</v>
      </c>
      <c r="D163" s="136">
        <v>28.2</v>
      </c>
      <c r="E163" s="136">
        <v>14.2</v>
      </c>
      <c r="F163" s="136">
        <v>56</v>
      </c>
      <c r="G163" s="137">
        <v>7.4</v>
      </c>
      <c r="H163" s="140" t="s">
        <v>59</v>
      </c>
      <c r="I163" s="136">
        <f t="shared" si="4"/>
        <v>3.7</v>
      </c>
    </row>
    <row r="164" spans="1:9">
      <c r="A164" s="136" t="s">
        <v>55</v>
      </c>
      <c r="B164" s="136">
        <v>22</v>
      </c>
      <c r="C164" s="136">
        <v>166</v>
      </c>
      <c r="D164" s="136">
        <v>32.5</v>
      </c>
      <c r="E164" s="136">
        <v>22.5</v>
      </c>
      <c r="F164" s="136">
        <v>79.5</v>
      </c>
      <c r="G164" s="137">
        <v>10.85</v>
      </c>
      <c r="H164" s="140" t="s">
        <v>59</v>
      </c>
      <c r="I164" s="136">
        <f t="shared" si="4"/>
        <v>5.4249999999999998</v>
      </c>
    </row>
    <row r="165" spans="1:9">
      <c r="A165" s="136" t="s">
        <v>55</v>
      </c>
      <c r="B165" s="136">
        <v>1</v>
      </c>
      <c r="C165" s="136">
        <v>166</v>
      </c>
      <c r="D165" s="136">
        <v>32.5</v>
      </c>
      <c r="F165" s="136">
        <v>76.3</v>
      </c>
      <c r="G165" s="137">
        <v>9.5078958783676697</v>
      </c>
      <c r="H165" s="140" t="s">
        <v>60</v>
      </c>
      <c r="I165" s="136">
        <f t="shared" si="4"/>
        <v>4.7539479391838348</v>
      </c>
    </row>
    <row r="166" spans="1:9">
      <c r="A166" s="136" t="s">
        <v>55</v>
      </c>
      <c r="B166" s="136">
        <v>2</v>
      </c>
      <c r="C166" s="136">
        <v>165</v>
      </c>
      <c r="D166" s="136">
        <v>33.299999999999997</v>
      </c>
      <c r="F166" s="136">
        <v>56.5</v>
      </c>
      <c r="G166" s="137">
        <v>7.1364994785833371</v>
      </c>
      <c r="H166" s="140" t="s">
        <v>60</v>
      </c>
      <c r="I166" s="136">
        <f t="shared" si="4"/>
        <v>3.5682497392916686</v>
      </c>
    </row>
    <row r="167" spans="1:9">
      <c r="A167" s="136" t="s">
        <v>55</v>
      </c>
      <c r="B167" s="136">
        <v>3</v>
      </c>
      <c r="C167" s="136">
        <v>166</v>
      </c>
      <c r="D167" s="136">
        <v>29.5</v>
      </c>
      <c r="F167" s="136">
        <v>47.5</v>
      </c>
      <c r="G167" s="137">
        <v>6.3830791822016586</v>
      </c>
      <c r="H167" s="140" t="s">
        <v>60</v>
      </c>
      <c r="I167" s="136">
        <f t="shared" si="4"/>
        <v>3.1915395911008293</v>
      </c>
    </row>
    <row r="168" spans="1:9">
      <c r="A168" s="136" t="s">
        <v>55</v>
      </c>
      <c r="B168" s="136">
        <v>4</v>
      </c>
      <c r="C168" s="136">
        <v>156</v>
      </c>
      <c r="D168" s="136">
        <v>31.5</v>
      </c>
      <c r="F168" s="136">
        <v>39.1</v>
      </c>
      <c r="G168" s="137">
        <v>3.5682497392916686</v>
      </c>
      <c r="H168" s="140" t="s">
        <v>60</v>
      </c>
      <c r="I168" s="136">
        <f t="shared" si="4"/>
        <v>1.7841248696458343</v>
      </c>
    </row>
    <row r="169" spans="1:9">
      <c r="A169" s="136" t="s">
        <v>55</v>
      </c>
      <c r="B169" s="136">
        <v>1</v>
      </c>
      <c r="C169" s="136">
        <v>155</v>
      </c>
      <c r="D169" s="136">
        <v>30</v>
      </c>
      <c r="F169" s="136">
        <v>56.3</v>
      </c>
      <c r="G169" s="137">
        <v>11</v>
      </c>
      <c r="H169" s="140" t="s">
        <v>61</v>
      </c>
      <c r="I169" s="136">
        <f t="shared" si="4"/>
        <v>5.5</v>
      </c>
    </row>
    <row r="170" spans="1:9">
      <c r="A170" s="136" t="s">
        <v>55</v>
      </c>
      <c r="B170" s="136">
        <v>2</v>
      </c>
      <c r="C170" s="136">
        <v>170</v>
      </c>
      <c r="D170" s="136">
        <v>28</v>
      </c>
      <c r="F170" s="136">
        <v>62.8</v>
      </c>
      <c r="G170" s="137">
        <v>11</v>
      </c>
      <c r="H170" s="140" t="s">
        <v>61</v>
      </c>
      <c r="I170" s="136">
        <f t="shared" si="4"/>
        <v>5.5</v>
      </c>
    </row>
    <row r="171" spans="1:9">
      <c r="A171" s="136" t="s">
        <v>55</v>
      </c>
      <c r="B171" s="136">
        <v>3</v>
      </c>
      <c r="C171" s="136">
        <v>170</v>
      </c>
      <c r="D171" s="136">
        <v>28</v>
      </c>
      <c r="F171" s="136">
        <v>54</v>
      </c>
      <c r="G171" s="137">
        <v>8</v>
      </c>
      <c r="H171" s="140" t="s">
        <v>61</v>
      </c>
      <c r="I171" s="136">
        <f t="shared" si="4"/>
        <v>4</v>
      </c>
    </row>
    <row r="172" spans="1:9">
      <c r="A172" s="136" t="s">
        <v>55</v>
      </c>
      <c r="B172" s="136">
        <v>4</v>
      </c>
      <c r="C172" s="136">
        <v>170</v>
      </c>
      <c r="D172" s="136">
        <v>28</v>
      </c>
      <c r="F172" s="136">
        <v>48.5</v>
      </c>
      <c r="G172" s="137">
        <v>9</v>
      </c>
      <c r="H172" s="140" t="s">
        <v>61</v>
      </c>
      <c r="I172" s="136">
        <f t="shared" si="4"/>
        <v>4.5</v>
      </c>
    </row>
    <row r="173" spans="1:9">
      <c r="A173" s="136" t="s">
        <v>55</v>
      </c>
      <c r="B173" s="136">
        <v>5</v>
      </c>
      <c r="C173" s="136">
        <v>170</v>
      </c>
      <c r="D173" s="136">
        <v>28</v>
      </c>
      <c r="F173" s="136">
        <v>53.8</v>
      </c>
      <c r="G173" s="137">
        <v>9</v>
      </c>
      <c r="H173" s="140" t="s">
        <v>61</v>
      </c>
      <c r="I173" s="136">
        <f t="shared" si="4"/>
        <v>4.5</v>
      </c>
    </row>
    <row r="174" spans="1:9">
      <c r="A174" s="136" t="s">
        <v>55</v>
      </c>
      <c r="B174" s="136">
        <v>6</v>
      </c>
      <c r="C174" s="136">
        <v>155</v>
      </c>
      <c r="D174" s="136">
        <v>29</v>
      </c>
      <c r="F174" s="136">
        <v>48.5</v>
      </c>
      <c r="G174" s="137">
        <v>6</v>
      </c>
      <c r="H174" s="140" t="s">
        <v>61</v>
      </c>
      <c r="I174" s="136">
        <f t="shared" si="4"/>
        <v>3</v>
      </c>
    </row>
    <row r="175" spans="1:9">
      <c r="A175" s="136" t="s">
        <v>55</v>
      </c>
      <c r="B175" s="136">
        <v>7</v>
      </c>
      <c r="C175" s="136">
        <v>170</v>
      </c>
      <c r="D175" s="136">
        <v>28</v>
      </c>
      <c r="F175" s="136">
        <v>47.6</v>
      </c>
      <c r="G175" s="137">
        <v>8</v>
      </c>
      <c r="H175" s="140" t="s">
        <v>61</v>
      </c>
      <c r="I175" s="136">
        <f t="shared" si="4"/>
        <v>4</v>
      </c>
    </row>
    <row r="176" spans="1:9">
      <c r="A176" s="136" t="s">
        <v>55</v>
      </c>
      <c r="B176" s="136">
        <v>9</v>
      </c>
      <c r="C176" s="136">
        <v>155</v>
      </c>
      <c r="D176" s="136">
        <v>27</v>
      </c>
      <c r="F176" s="136">
        <v>44.7</v>
      </c>
      <c r="G176" s="137">
        <v>6</v>
      </c>
      <c r="H176" s="140" t="s">
        <v>61</v>
      </c>
      <c r="I176" s="136">
        <f t="shared" si="4"/>
        <v>3</v>
      </c>
    </row>
    <row r="177" spans="1:9">
      <c r="A177" s="136" t="s">
        <v>55</v>
      </c>
      <c r="B177" s="136">
        <v>10</v>
      </c>
      <c r="C177" s="136">
        <v>155</v>
      </c>
      <c r="D177" s="136">
        <v>26</v>
      </c>
      <c r="F177" s="136">
        <v>37.299999999999997</v>
      </c>
      <c r="G177" s="137">
        <v>4</v>
      </c>
      <c r="H177" s="140" t="s">
        <v>61</v>
      </c>
      <c r="I177" s="136">
        <f t="shared" si="4"/>
        <v>2</v>
      </c>
    </row>
    <row r="178" spans="1:9">
      <c r="A178" s="136" t="s">
        <v>55</v>
      </c>
      <c r="B178" s="136">
        <v>11</v>
      </c>
      <c r="C178" s="136">
        <v>155</v>
      </c>
      <c r="D178" s="136">
        <v>27</v>
      </c>
      <c r="F178" s="136">
        <v>38</v>
      </c>
      <c r="G178" s="137">
        <v>3</v>
      </c>
      <c r="H178" s="140" t="s">
        <v>61</v>
      </c>
      <c r="I178" s="136">
        <f t="shared" si="4"/>
        <v>1.5</v>
      </c>
    </row>
    <row r="179" spans="1:9">
      <c r="A179" s="136" t="s">
        <v>55</v>
      </c>
      <c r="C179" s="136">
        <v>88</v>
      </c>
      <c r="F179" s="169">
        <v>20</v>
      </c>
      <c r="G179" s="137">
        <v>2.5731003930322749</v>
      </c>
      <c r="H179" s="136" t="s">
        <v>264</v>
      </c>
      <c r="I179" s="136">
        <f t="shared" si="4"/>
        <v>1.2865501965161374</v>
      </c>
    </row>
    <row r="180" spans="1:9">
      <c r="A180" s="136" t="s">
        <v>55</v>
      </c>
      <c r="C180" s="136">
        <v>88</v>
      </c>
      <c r="F180" s="169">
        <v>22</v>
      </c>
      <c r="G180" s="137">
        <v>2.8768136958757959</v>
      </c>
      <c r="H180" s="136" t="s">
        <v>264</v>
      </c>
      <c r="I180" s="136">
        <f t="shared" si="4"/>
        <v>1.438406847937898</v>
      </c>
    </row>
    <row r="181" spans="1:9">
      <c r="A181" s="136" t="s">
        <v>55</v>
      </c>
      <c r="C181" s="136">
        <v>88</v>
      </c>
      <c r="F181" s="169">
        <v>24</v>
      </c>
      <c r="G181" s="137">
        <v>3.1715284017974339</v>
      </c>
      <c r="H181" s="136" t="s">
        <v>264</v>
      </c>
      <c r="I181" s="136">
        <f t="shared" si="4"/>
        <v>1.5857642008987169</v>
      </c>
    </row>
    <row r="182" spans="1:9">
      <c r="A182" s="136" t="s">
        <v>55</v>
      </c>
      <c r="C182" s="136">
        <v>88</v>
      </c>
      <c r="F182" s="169">
        <v>26</v>
      </c>
      <c r="G182" s="137">
        <v>3.4595450164017998</v>
      </c>
      <c r="H182" s="136" t="s">
        <v>264</v>
      </c>
      <c r="I182" s="136">
        <f t="shared" si="4"/>
        <v>1.7297725082008999</v>
      </c>
    </row>
    <row r="183" spans="1:9">
      <c r="A183" s="136" t="s">
        <v>55</v>
      </c>
      <c r="C183" s="136">
        <v>88</v>
      </c>
      <c r="F183" s="169">
        <v>28</v>
      </c>
      <c r="G183" s="137">
        <v>3.7424103185095552</v>
      </c>
      <c r="H183" s="136" t="s">
        <v>264</v>
      </c>
      <c r="I183" s="136">
        <f t="shared" si="4"/>
        <v>1.8712051592547776</v>
      </c>
    </row>
    <row r="184" spans="1:9">
      <c r="A184" s="136" t="s">
        <v>55</v>
      </c>
      <c r="C184" s="136">
        <v>88</v>
      </c>
      <c r="F184" s="169">
        <v>30</v>
      </c>
      <c r="G184" s="137">
        <v>4.0212115361090577</v>
      </c>
      <c r="H184" s="136" t="s">
        <v>264</v>
      </c>
      <c r="I184" s="136">
        <f t="shared" si="4"/>
        <v>2.0106057680545288</v>
      </c>
    </row>
    <row r="185" spans="1:9">
      <c r="A185" s="136" t="s">
        <v>55</v>
      </c>
      <c r="C185" s="136">
        <v>88</v>
      </c>
      <c r="F185" s="169">
        <v>32</v>
      </c>
      <c r="G185" s="137">
        <v>4.3262710626597238</v>
      </c>
      <c r="H185" s="136" t="s">
        <v>264</v>
      </c>
      <c r="I185" s="136">
        <f t="shared" si="4"/>
        <v>2.1631355313298619</v>
      </c>
    </row>
    <row r="186" spans="1:9">
      <c r="A186" s="136" t="s">
        <v>55</v>
      </c>
      <c r="C186" s="136">
        <v>88</v>
      </c>
      <c r="F186" s="169">
        <v>34</v>
      </c>
      <c r="G186" s="137">
        <v>4.6524264916812781</v>
      </c>
      <c r="H186" s="136" t="s">
        <v>264</v>
      </c>
      <c r="I186" s="136">
        <f t="shared" si="4"/>
        <v>2.326213245840639</v>
      </c>
    </row>
    <row r="187" spans="1:9">
      <c r="A187" s="136" t="s">
        <v>55</v>
      </c>
      <c r="C187" s="136">
        <v>88</v>
      </c>
      <c r="F187" s="169">
        <v>36</v>
      </c>
      <c r="G187" s="137">
        <v>5.0209703231304035</v>
      </c>
      <c r="H187" s="136" t="s">
        <v>264</v>
      </c>
      <c r="I187" s="136">
        <f t="shared" si="4"/>
        <v>2.5104851615652017</v>
      </c>
    </row>
    <row r="188" spans="1:9">
      <c r="A188" s="136" t="s">
        <v>55</v>
      </c>
      <c r="C188" s="136">
        <v>88</v>
      </c>
      <c r="F188" s="169">
        <v>38</v>
      </c>
      <c r="G188" s="137">
        <v>5.3879366755708729</v>
      </c>
      <c r="H188" s="136" t="s">
        <v>264</v>
      </c>
      <c r="I188" s="136">
        <f t="shared" si="4"/>
        <v>2.6939683377854364</v>
      </c>
    </row>
    <row r="189" spans="1:9">
      <c r="A189" s="136" t="s">
        <v>55</v>
      </c>
      <c r="C189" s="136">
        <v>88</v>
      </c>
      <c r="F189" s="169">
        <v>40</v>
      </c>
      <c r="G189" s="137">
        <v>5.7757143343539132</v>
      </c>
      <c r="H189" s="136" t="s">
        <v>264</v>
      </c>
      <c r="I189" s="136">
        <f t="shared" si="4"/>
        <v>2.8878571671769566</v>
      </c>
    </row>
    <row r="190" spans="1:9">
      <c r="A190" s="136" t="s">
        <v>55</v>
      </c>
      <c r="C190" s="136">
        <v>88</v>
      </c>
      <c r="F190" s="169">
        <v>42</v>
      </c>
      <c r="G190" s="137">
        <v>6.1597514911811055</v>
      </c>
      <c r="H190" s="136" t="s">
        <v>264</v>
      </c>
      <c r="I190" s="136">
        <f t="shared" si="4"/>
        <v>3.0798757455905528</v>
      </c>
    </row>
    <row r="191" spans="1:9">
      <c r="A191" s="136" t="s">
        <v>55</v>
      </c>
      <c r="C191" s="136">
        <v>88</v>
      </c>
      <c r="F191" s="169">
        <v>44</v>
      </c>
      <c r="G191" s="137">
        <v>6.5698417459267624</v>
      </c>
      <c r="H191" s="136" t="s">
        <v>264</v>
      </c>
      <c r="I191" s="136">
        <f t="shared" si="4"/>
        <v>3.2849208729633812</v>
      </c>
    </row>
    <row r="192" spans="1:9">
      <c r="A192" s="136" t="s">
        <v>55</v>
      </c>
      <c r="C192" s="136">
        <v>27</v>
      </c>
      <c r="F192" s="136">
        <v>10.4</v>
      </c>
      <c r="G192" s="137">
        <v>2.5099999999999998</v>
      </c>
      <c r="H192" s="136" t="s">
        <v>266</v>
      </c>
      <c r="I192" s="136">
        <f t="shared" si="4"/>
        <v>1.2549999999999999</v>
      </c>
    </row>
    <row r="193" spans="1:9">
      <c r="A193" s="136" t="s">
        <v>55</v>
      </c>
      <c r="C193" s="136">
        <v>31</v>
      </c>
      <c r="F193" s="136">
        <v>12.1</v>
      </c>
      <c r="G193" s="137">
        <v>2.69</v>
      </c>
      <c r="H193" s="136" t="s">
        <v>266</v>
      </c>
      <c r="I193" s="136">
        <f t="shared" si="4"/>
        <v>1.345</v>
      </c>
    </row>
    <row r="194" spans="1:9">
      <c r="A194" s="136" t="s">
        <v>55</v>
      </c>
      <c r="C194" s="136">
        <v>41</v>
      </c>
      <c r="F194" s="136">
        <v>14.5</v>
      </c>
      <c r="G194" s="137">
        <v>3.28</v>
      </c>
      <c r="H194" s="136" t="s">
        <v>266</v>
      </c>
      <c r="I194" s="136">
        <f t="shared" si="4"/>
        <v>1.64</v>
      </c>
    </row>
    <row r="195" spans="1:9">
      <c r="A195" s="136" t="s">
        <v>55</v>
      </c>
      <c r="C195" s="136">
        <v>54</v>
      </c>
      <c r="F195" s="136">
        <v>18.7</v>
      </c>
      <c r="G195" s="137">
        <v>3.28</v>
      </c>
      <c r="H195" s="136" t="s">
        <v>266</v>
      </c>
      <c r="I195" s="136">
        <f t="shared" si="4"/>
        <v>1.64</v>
      </c>
    </row>
    <row r="196" spans="1:9">
      <c r="A196" s="136" t="s">
        <v>55</v>
      </c>
      <c r="C196" s="136">
        <v>72</v>
      </c>
      <c r="F196" s="136">
        <v>22.6</v>
      </c>
      <c r="G196" s="137">
        <v>4.51</v>
      </c>
      <c r="H196" s="136" t="s">
        <v>266</v>
      </c>
      <c r="I196" s="136">
        <f t="shared" si="4"/>
        <v>2.2549999999999999</v>
      </c>
    </row>
    <row r="197" spans="1:9">
      <c r="A197" s="136" t="s">
        <v>55</v>
      </c>
      <c r="C197" s="136">
        <v>77</v>
      </c>
      <c r="F197" s="136">
        <v>26.1</v>
      </c>
      <c r="G197" s="137">
        <v>4.0199999999999996</v>
      </c>
      <c r="H197" s="136" t="s">
        <v>266</v>
      </c>
      <c r="I197" s="136">
        <f>G197/2</f>
        <v>2.0099999999999998</v>
      </c>
    </row>
    <row r="198" spans="1:9">
      <c r="A198" s="136" t="s">
        <v>55</v>
      </c>
      <c r="C198" s="136">
        <v>85</v>
      </c>
      <c r="F198" s="136">
        <v>18.8</v>
      </c>
      <c r="G198" s="137">
        <v>3.55</v>
      </c>
      <c r="H198" s="136" t="s">
        <v>266</v>
      </c>
      <c r="I198" s="136">
        <f>G198/2</f>
        <v>1.7749999999999999</v>
      </c>
    </row>
    <row r="199" spans="1:9">
      <c r="A199" s="136" t="s">
        <v>55</v>
      </c>
      <c r="C199" s="136">
        <v>93</v>
      </c>
      <c r="F199" s="136">
        <v>26.1</v>
      </c>
      <c r="G199" s="137">
        <v>4.05</v>
      </c>
      <c r="H199" s="136" t="s">
        <v>266</v>
      </c>
      <c r="I199" s="136">
        <f>G199/2</f>
        <v>2.0249999999999999</v>
      </c>
    </row>
    <row r="200" spans="1:9">
      <c r="A200" s="136" t="s">
        <v>55</v>
      </c>
      <c r="C200" s="136">
        <v>106</v>
      </c>
      <c r="F200" s="136">
        <v>30.5</v>
      </c>
      <c r="G200" s="137">
        <v>4.1100000000000003</v>
      </c>
      <c r="H200" s="136" t="s">
        <v>266</v>
      </c>
      <c r="I200" s="136">
        <f>G200/2</f>
        <v>2.0550000000000002</v>
      </c>
    </row>
    <row r="201" spans="1:9">
      <c r="A201" s="136" t="s">
        <v>55</v>
      </c>
      <c r="C201" s="136">
        <v>168</v>
      </c>
      <c r="F201" s="136">
        <v>32.1</v>
      </c>
      <c r="G201" s="137">
        <v>4.8099999999999996</v>
      </c>
      <c r="H201" s="136" t="s">
        <v>266</v>
      </c>
      <c r="I201" s="136">
        <f>G201/2</f>
        <v>2.4049999999999998</v>
      </c>
    </row>
    <row r="202" spans="1:9">
      <c r="A202" s="136" t="str">
        <f>Fröhlich_alle!C294</f>
        <v>Kiefer</v>
      </c>
      <c r="C202" s="136">
        <f>Fröhlich_alle!E294</f>
        <v>150</v>
      </c>
      <c r="D202" s="136">
        <f>Fröhlich_alle!F294</f>
        <v>10</v>
      </c>
      <c r="F202" s="137">
        <f>Fröhlich_alle!J294</f>
        <v>109.81691073340778</v>
      </c>
      <c r="G202" s="136">
        <f>Fröhlich_alle!H294</f>
        <v>12</v>
      </c>
      <c r="H202" s="136" t="s">
        <v>771</v>
      </c>
      <c r="I202" s="136">
        <f t="shared" ref="I202:I211" si="5">G202/2</f>
        <v>6</v>
      </c>
    </row>
    <row r="203" spans="1:9">
      <c r="A203" s="136" t="str">
        <f>Fröhlich_alle!C295</f>
        <v>Kiefer</v>
      </c>
      <c r="C203" s="136">
        <f>Fröhlich_alle!E295</f>
        <v>200</v>
      </c>
      <c r="D203" s="136">
        <f>Fröhlich_alle!F295</f>
        <v>22</v>
      </c>
      <c r="F203" s="137">
        <f>Fröhlich_alle!J295</f>
        <v>165.52114081557116</v>
      </c>
      <c r="G203" s="136">
        <f>Fröhlich_alle!H295</f>
        <v>16</v>
      </c>
      <c r="H203" s="136" t="s">
        <v>771</v>
      </c>
      <c r="I203" s="136">
        <f t="shared" si="5"/>
        <v>8</v>
      </c>
    </row>
    <row r="204" spans="1:9">
      <c r="A204" s="136" t="str">
        <f>Fröhlich_alle!C296</f>
        <v>Kiefer</v>
      </c>
      <c r="C204" s="136">
        <f>Fröhlich_alle!E296</f>
        <v>200</v>
      </c>
      <c r="D204" s="136">
        <f>Fröhlich_alle!F296</f>
        <v>30</v>
      </c>
      <c r="F204" s="137">
        <f>Fröhlich_alle!J296</f>
        <v>105.04226244065093</v>
      </c>
      <c r="G204" s="136">
        <f>Fröhlich_alle!H296</f>
        <v>8</v>
      </c>
      <c r="H204" s="136" t="s">
        <v>771</v>
      </c>
      <c r="I204" s="136">
        <f t="shared" si="5"/>
        <v>4</v>
      </c>
    </row>
    <row r="205" spans="1:9">
      <c r="A205" s="136" t="str">
        <f>Fröhlich_alle!C297</f>
        <v>Kiefer</v>
      </c>
      <c r="C205" s="136">
        <f>Fröhlich_alle!E297</f>
        <v>200</v>
      </c>
      <c r="D205" s="136">
        <f>Fröhlich_alle!F297</f>
        <v>30</v>
      </c>
      <c r="F205" s="137">
        <f>Fröhlich_alle!J297</f>
        <v>97.08451528605616</v>
      </c>
      <c r="G205" s="136">
        <f>Fröhlich_alle!H297</f>
        <v>10</v>
      </c>
      <c r="H205" s="136" t="s">
        <v>771</v>
      </c>
      <c r="I205" s="136">
        <f t="shared" si="5"/>
        <v>5</v>
      </c>
    </row>
    <row r="206" spans="1:9">
      <c r="A206" s="136" t="str">
        <f>Fröhlich_alle!C298</f>
        <v>Kiefer</v>
      </c>
      <c r="C206" s="136">
        <f>Fröhlich_alle!E298</f>
        <v>225</v>
      </c>
      <c r="D206" s="136">
        <f>Fröhlich_alle!F298</f>
        <v>25</v>
      </c>
      <c r="F206" s="137">
        <f>Fröhlich_alle!J298</f>
        <v>98.676064716975105</v>
      </c>
      <c r="G206" s="136">
        <f>Fröhlich_alle!H298</f>
        <v>16</v>
      </c>
      <c r="H206" s="136" t="s">
        <v>771</v>
      </c>
      <c r="I206" s="136">
        <f t="shared" si="5"/>
        <v>8</v>
      </c>
    </row>
    <row r="207" spans="1:9">
      <c r="A207" s="136" t="str">
        <f>Fröhlich_alle!C299</f>
        <v>Kiefer</v>
      </c>
      <c r="C207" s="136">
        <f>Fröhlich_alle!E299</f>
        <v>250</v>
      </c>
      <c r="D207" s="136">
        <f>Fröhlich_alle!F299</f>
        <v>17</v>
      </c>
      <c r="F207" s="137">
        <f>Fröhlich_alle!J299</f>
        <v>132.09860276627313</v>
      </c>
      <c r="G207" s="136">
        <f>Fröhlich_alle!H299</f>
        <v>15</v>
      </c>
      <c r="H207" s="136" t="s">
        <v>771</v>
      </c>
      <c r="I207" s="136">
        <f t="shared" si="5"/>
        <v>7.5</v>
      </c>
    </row>
    <row r="208" spans="1:9">
      <c r="A208" s="136" t="str">
        <f>Fröhlich_alle!C300</f>
        <v>Kiefer</v>
      </c>
      <c r="C208" s="136">
        <f>Fröhlich_alle!E300</f>
        <v>250</v>
      </c>
      <c r="D208" s="136">
        <f>Fröhlich_alle!F300</f>
        <v>21</v>
      </c>
      <c r="F208" s="137">
        <f>Fröhlich_alle!J300</f>
        <v>162.33804195373324</v>
      </c>
      <c r="G208" s="136">
        <f>Fröhlich_alle!H300</f>
        <v>16</v>
      </c>
      <c r="H208" s="136" t="s">
        <v>771</v>
      </c>
      <c r="I208" s="136">
        <f t="shared" si="5"/>
        <v>8</v>
      </c>
    </row>
    <row r="209" spans="1:9">
      <c r="A209" s="136" t="str">
        <f>Fröhlich_alle!C301</f>
        <v>Kiefer</v>
      </c>
      <c r="C209" s="136">
        <f>Fröhlich_alle!E301</f>
        <v>250</v>
      </c>
      <c r="D209" s="136">
        <f>Fröhlich_alle!F301</f>
        <v>15</v>
      </c>
      <c r="F209" s="137">
        <f>Fröhlich_alle!J301</f>
        <v>171.88733853924697</v>
      </c>
      <c r="G209" s="136">
        <f>Fröhlich_alle!H301</f>
        <v>19</v>
      </c>
      <c r="H209" s="136" t="s">
        <v>771</v>
      </c>
      <c r="I209" s="136">
        <f t="shared" si="5"/>
        <v>9.5</v>
      </c>
    </row>
    <row r="210" spans="1:9">
      <c r="A210" s="136" t="str">
        <f>Fröhlich_alle!C302</f>
        <v>Kiefer</v>
      </c>
      <c r="C210" s="136">
        <f>Fröhlich_alle!E302</f>
        <v>250</v>
      </c>
      <c r="D210" s="136">
        <f>Fröhlich_alle!F302</f>
        <v>31</v>
      </c>
      <c r="F210" s="137">
        <f>Fröhlich_alle!J302</f>
        <v>216.45072260497767</v>
      </c>
      <c r="G210" s="136">
        <f>Fröhlich_alle!H302</f>
        <v>25</v>
      </c>
      <c r="H210" s="136" t="s">
        <v>771</v>
      </c>
      <c r="I210" s="136">
        <f t="shared" si="5"/>
        <v>12.5</v>
      </c>
    </row>
    <row r="211" spans="1:9">
      <c r="A211" s="136" t="str">
        <f>Fröhlich_alle!C303</f>
        <v>Kiefer</v>
      </c>
      <c r="C211" s="136">
        <f>Fröhlich_alle!E303</f>
        <v>275</v>
      </c>
      <c r="D211" s="136">
        <f>Fröhlich_alle!F303</f>
        <v>15</v>
      </c>
      <c r="F211" s="137">
        <f>Fröhlich_alle!J303</f>
        <v>197.35212943395021</v>
      </c>
      <c r="G211" s="136">
        <f>Fröhlich_alle!H303</f>
        <v>15</v>
      </c>
      <c r="H211" s="136" t="s">
        <v>771</v>
      </c>
      <c r="I211" s="136">
        <f t="shared" si="5"/>
        <v>7.5</v>
      </c>
    </row>
  </sheetData>
  <pageMargins left="0.78740157499999996" right="0.78740157499999996" top="0.984251969" bottom="0.984251969" header="0.4921259845" footer="0.4921259845"/>
  <headerFooter alignWithMargins="0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AD57"/>
  <sheetViews>
    <sheetView zoomScale="75" workbookViewId="0">
      <selection activeCell="E10" sqref="E10"/>
    </sheetView>
  </sheetViews>
  <sheetFormatPr baseColWidth="10" defaultRowHeight="12.75"/>
  <cols>
    <col min="1" max="1" width="22.28515625" style="177" customWidth="1"/>
    <col min="2" max="2" width="11.42578125" style="177"/>
    <col min="3" max="3" width="8.42578125" style="177" customWidth="1"/>
    <col min="4" max="5" width="10.5703125" style="177" customWidth="1"/>
    <col min="6" max="6" width="10.42578125" style="177" bestFit="1" customWidth="1"/>
    <col min="7" max="7" width="10.85546875" style="177" bestFit="1" customWidth="1"/>
    <col min="8" max="8" width="12.7109375" style="177" bestFit="1" customWidth="1"/>
    <col min="9" max="9" width="13.42578125" style="177" bestFit="1" customWidth="1"/>
    <col min="10" max="14" width="10.85546875" style="177" bestFit="1" customWidth="1"/>
    <col min="15" max="15" width="12.28515625" style="177" bestFit="1" customWidth="1"/>
    <col min="16" max="16" width="10.5703125" style="177" bestFit="1" customWidth="1"/>
    <col min="17" max="20" width="9.7109375" style="177" bestFit="1" customWidth="1"/>
    <col min="21" max="21" width="13" style="177" bestFit="1" customWidth="1"/>
    <col min="22" max="22" width="10.85546875" style="177" customWidth="1"/>
    <col min="23" max="23" width="15.5703125" style="177" bestFit="1" customWidth="1"/>
    <col min="24" max="24" width="7.42578125" style="177" bestFit="1" customWidth="1"/>
    <col min="25" max="25" width="10.28515625" style="177" bestFit="1" customWidth="1"/>
    <col min="26" max="27" width="15.5703125" style="177" bestFit="1" customWidth="1"/>
    <col min="28" max="28" width="11.42578125" style="177"/>
    <col min="29" max="30" width="18.28515625" style="256" customWidth="1"/>
    <col min="31" max="16384" width="11.42578125" style="177"/>
  </cols>
  <sheetData>
    <row r="1" spans="1:30" ht="15.75">
      <c r="A1" s="248" t="s">
        <v>1186</v>
      </c>
    </row>
    <row r="2" spans="1:30">
      <c r="A2" s="249" t="s">
        <v>1318</v>
      </c>
    </row>
    <row r="3" spans="1:30">
      <c r="A3" s="182"/>
      <c r="I3" s="176" t="s">
        <v>1193</v>
      </c>
    </row>
    <row r="4" spans="1:30" ht="25.5">
      <c r="A4" s="260" t="s">
        <v>1020</v>
      </c>
      <c r="B4" s="177" t="s">
        <v>1021</v>
      </c>
      <c r="C4" s="177" t="s">
        <v>1022</v>
      </c>
      <c r="D4" s="177" t="s">
        <v>1023</v>
      </c>
      <c r="E4" s="177" t="s">
        <v>1200</v>
      </c>
      <c r="F4" s="177" t="s">
        <v>1024</v>
      </c>
      <c r="G4" s="177" t="s">
        <v>823</v>
      </c>
      <c r="H4" s="263" t="s">
        <v>1192</v>
      </c>
      <c r="I4" s="263" t="s">
        <v>1191</v>
      </c>
      <c r="J4" s="263" t="s">
        <v>1319</v>
      </c>
      <c r="K4" s="263" t="s">
        <v>1028</v>
      </c>
      <c r="L4" s="263" t="s">
        <v>1029</v>
      </c>
      <c r="M4" s="263" t="s">
        <v>1030</v>
      </c>
      <c r="N4" s="263" t="s">
        <v>1320</v>
      </c>
      <c r="O4" s="177" t="s">
        <v>1025</v>
      </c>
      <c r="P4" s="257" t="s">
        <v>1026</v>
      </c>
      <c r="Q4" s="177" t="s">
        <v>1027</v>
      </c>
      <c r="R4" s="258" t="s">
        <v>1028</v>
      </c>
      <c r="S4" s="177" t="s">
        <v>1029</v>
      </c>
      <c r="T4" s="258" t="s">
        <v>1030</v>
      </c>
      <c r="U4" s="257" t="s">
        <v>1031</v>
      </c>
      <c r="V4" s="256" t="s">
        <v>1033</v>
      </c>
      <c r="W4" s="256" t="s">
        <v>1034</v>
      </c>
      <c r="X4" s="177" t="s">
        <v>1187</v>
      </c>
      <c r="Y4" s="177" t="s">
        <v>1188</v>
      </c>
      <c r="AA4" s="252"/>
      <c r="AC4" s="177"/>
      <c r="AD4" s="177"/>
    </row>
    <row r="5" spans="1:30">
      <c r="A5" s="260"/>
      <c r="B5" s="177" t="s">
        <v>1035</v>
      </c>
      <c r="D5" s="177" t="s">
        <v>1664</v>
      </c>
      <c r="E5" s="177" t="s">
        <v>1663</v>
      </c>
      <c r="F5" s="177" t="s">
        <v>1036</v>
      </c>
      <c r="G5" s="182" t="s">
        <v>1037</v>
      </c>
      <c r="H5" s="249" t="s">
        <v>1195</v>
      </c>
      <c r="I5" s="249" t="s">
        <v>1195</v>
      </c>
      <c r="J5" s="249" t="s">
        <v>1195</v>
      </c>
      <c r="K5" s="249" t="s">
        <v>1195</v>
      </c>
      <c r="L5" s="249" t="s">
        <v>1195</v>
      </c>
      <c r="M5" s="249" t="s">
        <v>1195</v>
      </c>
      <c r="N5" s="249" t="s">
        <v>1195</v>
      </c>
      <c r="O5" s="230" t="s">
        <v>1038</v>
      </c>
      <c r="P5" s="257" t="s">
        <v>1194</v>
      </c>
      <c r="Q5" s="257" t="s">
        <v>1194</v>
      </c>
      <c r="R5" s="257" t="s">
        <v>1194</v>
      </c>
      <c r="S5" s="257" t="s">
        <v>1194</v>
      </c>
      <c r="T5" s="257" t="s">
        <v>1194</v>
      </c>
      <c r="U5" s="257" t="s">
        <v>1194</v>
      </c>
      <c r="V5" s="256"/>
      <c r="W5" s="256"/>
      <c r="AA5" s="252"/>
      <c r="AC5" s="177"/>
      <c r="AD5" s="177"/>
    </row>
    <row r="6" spans="1:30" ht="38.25">
      <c r="A6" s="260" t="s">
        <v>1041</v>
      </c>
      <c r="B6" s="264">
        <v>7</v>
      </c>
      <c r="C6" s="177">
        <v>4810</v>
      </c>
      <c r="D6" s="177">
        <v>1.4</v>
      </c>
      <c r="F6" s="177">
        <v>0.1</v>
      </c>
      <c r="G6" s="177">
        <v>0.8</v>
      </c>
      <c r="H6" s="266">
        <f>I6+N6</f>
        <v>1.5592515592515594</v>
      </c>
      <c r="I6" s="266">
        <f>SUM(J6:M6)</f>
        <v>0.85239085239085244</v>
      </c>
      <c r="J6" s="266">
        <f>(P6+Q6)*1000/C6</f>
        <v>0.20790020790020791</v>
      </c>
      <c r="K6" s="266">
        <f>R6*1000/C6</f>
        <v>0.20790020790020791</v>
      </c>
      <c r="L6" s="266">
        <f>S6*1000/C6</f>
        <v>0</v>
      </c>
      <c r="M6" s="266">
        <f>T6*1000/C6</f>
        <v>0.43659043659043661</v>
      </c>
      <c r="N6" s="266">
        <f>U6*1000/C6</f>
        <v>0.7068607068607069</v>
      </c>
      <c r="P6" s="177">
        <v>1</v>
      </c>
      <c r="R6" s="177">
        <v>1</v>
      </c>
      <c r="S6" s="177">
        <v>0</v>
      </c>
      <c r="T6" s="177">
        <v>2.1</v>
      </c>
      <c r="U6" s="177">
        <v>3.4</v>
      </c>
      <c r="V6" s="256" t="s">
        <v>1061</v>
      </c>
      <c r="W6" s="256" t="s">
        <v>1062</v>
      </c>
      <c r="X6" s="177" t="s">
        <v>1190</v>
      </c>
      <c r="Y6" s="177" t="s">
        <v>1189</v>
      </c>
      <c r="AC6" s="177"/>
      <c r="AD6" s="177"/>
    </row>
    <row r="7" spans="1:30" ht="51">
      <c r="A7" s="262" t="s">
        <v>1053</v>
      </c>
      <c r="B7" s="264">
        <v>9</v>
      </c>
      <c r="C7" s="177">
        <v>1421</v>
      </c>
      <c r="D7" s="177">
        <v>5.7</v>
      </c>
      <c r="F7" s="177">
        <v>8.8000000000000007</v>
      </c>
      <c r="H7" s="266">
        <f t="shared" ref="H7:H38" si="0">I7+N7</f>
        <v>21.182266009852217</v>
      </c>
      <c r="I7" s="266">
        <f t="shared" ref="I7:I38" si="1">SUM(J7:M7)</f>
        <v>19.422941590429275</v>
      </c>
      <c r="J7" s="266">
        <f t="shared" ref="J7:J38" si="2">(P7+Q7)*1000/C7</f>
        <v>6.7558057705840957</v>
      </c>
      <c r="K7" s="266">
        <f t="shared" ref="K7:K38" si="3">R7*1000/C7</f>
        <v>6.2631949331456722</v>
      </c>
      <c r="L7" s="266">
        <f t="shared" ref="L7:L38" si="4">S7*1000/C7</f>
        <v>0</v>
      </c>
      <c r="M7" s="266">
        <f t="shared" ref="M7:M38" si="5">T7*1000/C7</f>
        <v>6.4039408866995071</v>
      </c>
      <c r="N7" s="266">
        <f t="shared" ref="N7:N38" si="6">U7*1000/C7</f>
        <v>1.7593244194229416</v>
      </c>
      <c r="P7" s="257">
        <v>7.8</v>
      </c>
      <c r="Q7" s="177">
        <v>1.8</v>
      </c>
      <c r="R7" s="258">
        <v>8.9</v>
      </c>
      <c r="S7" s="177">
        <v>0</v>
      </c>
      <c r="T7" s="258">
        <v>9.1</v>
      </c>
      <c r="U7" s="257">
        <v>2.5</v>
      </c>
      <c r="V7" s="256" t="s">
        <v>1054</v>
      </c>
      <c r="W7" s="256" t="s">
        <v>1055</v>
      </c>
      <c r="X7" s="177" t="s">
        <v>1190</v>
      </c>
      <c r="Y7" s="177" t="s">
        <v>1189</v>
      </c>
      <c r="AA7" s="252"/>
      <c r="AC7" s="177"/>
      <c r="AD7" s="177"/>
    </row>
    <row r="8" spans="1:30">
      <c r="A8" s="260" t="s">
        <v>1041</v>
      </c>
      <c r="B8" s="264">
        <v>11</v>
      </c>
      <c r="C8" s="177">
        <v>4230</v>
      </c>
      <c r="D8" s="177">
        <v>2.9</v>
      </c>
      <c r="F8" s="177">
        <v>4.0999999999999996</v>
      </c>
      <c r="G8" s="177">
        <v>2.1</v>
      </c>
      <c r="H8" s="266">
        <f t="shared" si="0"/>
        <v>6.1229314420803789</v>
      </c>
      <c r="I8" s="266">
        <f t="shared" si="1"/>
        <v>3.6170212765957448</v>
      </c>
      <c r="J8" s="266">
        <f t="shared" si="2"/>
        <v>1.2293144208037825</v>
      </c>
      <c r="K8" s="266">
        <f t="shared" si="3"/>
        <v>1.0165484633569739</v>
      </c>
      <c r="L8" s="266">
        <f t="shared" si="4"/>
        <v>0</v>
      </c>
      <c r="M8" s="266">
        <f t="shared" si="5"/>
        <v>1.3711583924349882</v>
      </c>
      <c r="N8" s="266">
        <f t="shared" si="6"/>
        <v>2.5059101654846336</v>
      </c>
      <c r="P8" s="177">
        <v>5.2</v>
      </c>
      <c r="R8" s="177">
        <v>4.3</v>
      </c>
      <c r="S8" s="177">
        <v>0</v>
      </c>
      <c r="T8" s="177">
        <v>5.8</v>
      </c>
      <c r="U8" s="177">
        <v>10.6</v>
      </c>
      <c r="V8" s="256"/>
      <c r="W8" s="256"/>
      <c r="X8" s="177" t="s">
        <v>1190</v>
      </c>
      <c r="Y8" s="177" t="s">
        <v>1189</v>
      </c>
      <c r="AC8" s="177"/>
      <c r="AD8" s="177"/>
    </row>
    <row r="9" spans="1:30" ht="25.5">
      <c r="A9" s="262" t="s">
        <v>1056</v>
      </c>
      <c r="B9" s="264">
        <v>12</v>
      </c>
      <c r="C9" s="177">
        <v>1801</v>
      </c>
      <c r="D9" s="177">
        <v>6.6</v>
      </c>
      <c r="F9" s="177">
        <v>6.4</v>
      </c>
      <c r="H9" s="266">
        <f t="shared" si="0"/>
        <v>8.6618545252637436</v>
      </c>
      <c r="I9" s="266">
        <f t="shared" si="1"/>
        <v>7.8845086063298178</v>
      </c>
      <c r="J9" s="266">
        <f t="shared" si="2"/>
        <v>4.05330372015547</v>
      </c>
      <c r="K9" s="266">
        <f t="shared" si="3"/>
        <v>1.9988895058300944</v>
      </c>
      <c r="L9" s="266">
        <f t="shared" si="4"/>
        <v>0</v>
      </c>
      <c r="M9" s="266">
        <f t="shared" si="5"/>
        <v>1.8323153803442531</v>
      </c>
      <c r="N9" s="266">
        <f t="shared" si="6"/>
        <v>0.77734591893392557</v>
      </c>
      <c r="P9" s="257">
        <v>5.9</v>
      </c>
      <c r="Q9" s="177">
        <v>1.4</v>
      </c>
      <c r="R9" s="258">
        <v>3.6</v>
      </c>
      <c r="S9" s="177">
        <v>0</v>
      </c>
      <c r="T9" s="258">
        <v>3.3</v>
      </c>
      <c r="U9" s="257">
        <v>1.4</v>
      </c>
      <c r="V9" s="256"/>
      <c r="W9" s="256"/>
      <c r="X9" s="177" t="s">
        <v>1190</v>
      </c>
      <c r="Y9" s="177" t="s">
        <v>1189</v>
      </c>
      <c r="AC9" s="177"/>
      <c r="AD9" s="177"/>
    </row>
    <row r="10" spans="1:30" ht="51">
      <c r="A10" s="260" t="s">
        <v>1041</v>
      </c>
      <c r="B10" s="264">
        <v>13</v>
      </c>
      <c r="C10" s="177">
        <v>1131</v>
      </c>
      <c r="D10" s="177">
        <v>5.5</v>
      </c>
      <c r="F10" s="177">
        <v>7.7</v>
      </c>
      <c r="H10" s="266">
        <f t="shared" si="0"/>
        <v>16.799292661361626</v>
      </c>
      <c r="I10" s="266">
        <f t="shared" si="1"/>
        <v>16.003536693191865</v>
      </c>
      <c r="J10" s="266">
        <f t="shared" si="2"/>
        <v>8.4880636604774544</v>
      </c>
      <c r="K10" s="266">
        <f t="shared" si="3"/>
        <v>4.3324491600353667</v>
      </c>
      <c r="L10" s="266">
        <f t="shared" si="4"/>
        <v>0</v>
      </c>
      <c r="M10" s="266">
        <f t="shared" si="5"/>
        <v>3.183023872679045</v>
      </c>
      <c r="N10" s="266">
        <f t="shared" si="6"/>
        <v>0.79575596816976124</v>
      </c>
      <c r="P10" s="257">
        <v>8</v>
      </c>
      <c r="Q10" s="177">
        <v>1.6</v>
      </c>
      <c r="R10" s="258">
        <v>4.9000000000000004</v>
      </c>
      <c r="S10" s="177">
        <v>0</v>
      </c>
      <c r="T10" s="258">
        <v>3.6</v>
      </c>
      <c r="U10" s="258">
        <v>0.9</v>
      </c>
      <c r="V10" s="256" t="s">
        <v>1050</v>
      </c>
      <c r="W10" s="256" t="s">
        <v>1051</v>
      </c>
      <c r="X10" s="177" t="s">
        <v>1190</v>
      </c>
      <c r="Y10" s="177" t="s">
        <v>1189</v>
      </c>
      <c r="AC10" s="177"/>
      <c r="AD10" s="177"/>
    </row>
    <row r="11" spans="1:30">
      <c r="A11" s="260" t="s">
        <v>1041</v>
      </c>
      <c r="B11" s="264">
        <v>13</v>
      </c>
      <c r="C11" s="177">
        <v>1194</v>
      </c>
      <c r="D11" s="177">
        <v>5.9</v>
      </c>
      <c r="F11" s="177">
        <v>12.4</v>
      </c>
      <c r="G11" s="259"/>
      <c r="H11" s="266">
        <f t="shared" si="0"/>
        <v>30.150753768844218</v>
      </c>
      <c r="I11" s="266">
        <f t="shared" si="1"/>
        <v>28.475711892797317</v>
      </c>
      <c r="J11" s="266">
        <f t="shared" si="2"/>
        <v>13.902847571189277</v>
      </c>
      <c r="K11" s="266">
        <f t="shared" si="3"/>
        <v>8.4589614740368511</v>
      </c>
      <c r="L11" s="266">
        <f t="shared" si="4"/>
        <v>0</v>
      </c>
      <c r="M11" s="266">
        <f t="shared" si="5"/>
        <v>6.1139028475711896</v>
      </c>
      <c r="N11" s="266">
        <f t="shared" si="6"/>
        <v>1.6750418760469012</v>
      </c>
      <c r="P11" s="257">
        <v>14.2</v>
      </c>
      <c r="Q11" s="177">
        <v>2.4</v>
      </c>
      <c r="R11" s="258">
        <v>10.1</v>
      </c>
      <c r="S11" s="177">
        <v>0</v>
      </c>
      <c r="T11" s="258">
        <v>7.3</v>
      </c>
      <c r="U11" s="258">
        <v>2</v>
      </c>
      <c r="V11" s="256"/>
      <c r="W11" s="256"/>
      <c r="X11" s="177" t="s">
        <v>1190</v>
      </c>
      <c r="Y11" s="177" t="s">
        <v>1189</v>
      </c>
      <c r="AC11" s="177"/>
      <c r="AD11" s="177"/>
    </row>
    <row r="12" spans="1:30">
      <c r="A12" s="260" t="s">
        <v>1041</v>
      </c>
      <c r="B12" s="264">
        <v>13</v>
      </c>
      <c r="C12" s="177">
        <v>1244</v>
      </c>
      <c r="D12" s="177">
        <v>5.4</v>
      </c>
      <c r="F12" s="177">
        <v>12.1</v>
      </c>
      <c r="G12" s="182"/>
      <c r="H12" s="266">
        <f t="shared" si="0"/>
        <v>26.527331189710612</v>
      </c>
      <c r="I12" s="266">
        <f t="shared" si="1"/>
        <v>25</v>
      </c>
      <c r="J12" s="266">
        <f t="shared" si="2"/>
        <v>12.37942122186495</v>
      </c>
      <c r="K12" s="266">
        <f t="shared" si="3"/>
        <v>6.832797427652733</v>
      </c>
      <c r="L12" s="266">
        <f t="shared" si="4"/>
        <v>0</v>
      </c>
      <c r="M12" s="266">
        <f t="shared" si="5"/>
        <v>5.787781350482315</v>
      </c>
      <c r="N12" s="266">
        <f t="shared" si="6"/>
        <v>1.527331189710611</v>
      </c>
      <c r="P12" s="257">
        <v>13.1</v>
      </c>
      <c r="Q12" s="177">
        <v>2.2999999999999998</v>
      </c>
      <c r="R12" s="258">
        <v>8.5</v>
      </c>
      <c r="S12" s="177">
        <v>0</v>
      </c>
      <c r="T12" s="258">
        <v>7.2</v>
      </c>
      <c r="U12" s="177">
        <v>1.9</v>
      </c>
      <c r="V12" s="256"/>
      <c r="W12" s="256"/>
      <c r="X12" s="177" t="s">
        <v>1190</v>
      </c>
      <c r="Y12" s="177" t="s">
        <v>1189</v>
      </c>
      <c r="AC12" s="177"/>
      <c r="AD12" s="177"/>
    </row>
    <row r="13" spans="1:30">
      <c r="A13" s="250" t="s">
        <v>1041</v>
      </c>
      <c r="B13" s="265">
        <v>13</v>
      </c>
      <c r="C13" s="254">
        <v>1281</v>
      </c>
      <c r="D13" s="177">
        <v>5</v>
      </c>
      <c r="F13" s="254">
        <v>10.5</v>
      </c>
      <c r="G13" s="255"/>
      <c r="H13" s="266">
        <f t="shared" si="0"/>
        <v>21.623731459797032</v>
      </c>
      <c r="I13" s="266">
        <f t="shared" si="1"/>
        <v>20.452771272443403</v>
      </c>
      <c r="J13" s="266">
        <f t="shared" si="2"/>
        <v>9.6018735362997649</v>
      </c>
      <c r="K13" s="266">
        <f t="shared" si="3"/>
        <v>6.0109289617486334</v>
      </c>
      <c r="L13" s="266">
        <f t="shared" si="4"/>
        <v>0</v>
      </c>
      <c r="M13" s="266">
        <f t="shared" si="5"/>
        <v>4.8399687743950039</v>
      </c>
      <c r="N13" s="266">
        <f t="shared" si="6"/>
        <v>1.1709601873536299</v>
      </c>
      <c r="O13" s="255"/>
      <c r="P13" s="258">
        <v>10.199999999999999</v>
      </c>
      <c r="Q13" s="255">
        <v>2.1</v>
      </c>
      <c r="R13" s="258">
        <v>7.7</v>
      </c>
      <c r="S13" s="255">
        <v>0</v>
      </c>
      <c r="T13" s="258">
        <v>6.2</v>
      </c>
      <c r="U13" s="258">
        <v>1.5</v>
      </c>
      <c r="V13" s="256"/>
      <c r="W13" s="256"/>
      <c r="X13" s="177" t="s">
        <v>1190</v>
      </c>
      <c r="Y13" s="177" t="s">
        <v>1189</v>
      </c>
      <c r="AC13" s="177"/>
      <c r="AD13" s="177"/>
    </row>
    <row r="14" spans="1:30">
      <c r="A14" s="250" t="s">
        <v>1041</v>
      </c>
      <c r="B14" s="265">
        <v>13</v>
      </c>
      <c r="C14" s="254">
        <v>1156</v>
      </c>
      <c r="D14" s="177">
        <v>5</v>
      </c>
      <c r="F14" s="254">
        <v>10.8</v>
      </c>
      <c r="G14" s="255"/>
      <c r="H14" s="266">
        <f t="shared" si="0"/>
        <v>25.865051903114185</v>
      </c>
      <c r="I14" s="266">
        <f t="shared" si="1"/>
        <v>24.394463667820069</v>
      </c>
      <c r="J14" s="266">
        <f t="shared" si="2"/>
        <v>11.418685121107266</v>
      </c>
      <c r="K14" s="266">
        <f t="shared" si="3"/>
        <v>7.2664359861591699</v>
      </c>
      <c r="L14" s="266">
        <f t="shared" si="4"/>
        <v>0</v>
      </c>
      <c r="M14" s="266">
        <f t="shared" si="5"/>
        <v>5.7093425605536332</v>
      </c>
      <c r="N14" s="266">
        <f t="shared" si="6"/>
        <v>1.4705882352941178</v>
      </c>
      <c r="O14" s="255"/>
      <c r="P14" s="258">
        <v>11.1</v>
      </c>
      <c r="Q14" s="255">
        <v>2.1</v>
      </c>
      <c r="R14" s="258">
        <v>8.4</v>
      </c>
      <c r="S14" s="255">
        <v>0</v>
      </c>
      <c r="T14" s="258">
        <v>6.6</v>
      </c>
      <c r="U14" s="258">
        <v>1.7</v>
      </c>
      <c r="V14" s="256"/>
      <c r="W14" s="256"/>
      <c r="X14" s="177" t="s">
        <v>1190</v>
      </c>
      <c r="Y14" s="177" t="s">
        <v>1189</v>
      </c>
      <c r="AC14" s="177"/>
      <c r="AD14" s="177"/>
    </row>
    <row r="15" spans="1:30" ht="25.5">
      <c r="A15" s="262" t="s">
        <v>1056</v>
      </c>
      <c r="B15" s="264">
        <v>14</v>
      </c>
      <c r="C15" s="177">
        <v>2538</v>
      </c>
      <c r="D15" s="177">
        <v>7.7</v>
      </c>
      <c r="F15" s="177">
        <v>15.1</v>
      </c>
      <c r="G15" s="182"/>
      <c r="H15" s="266">
        <f t="shared" si="0"/>
        <v>14.026792750197005</v>
      </c>
      <c r="I15" s="266">
        <f t="shared" si="1"/>
        <v>12.64775413711584</v>
      </c>
      <c r="J15" s="266">
        <f t="shared" si="2"/>
        <v>8.5894405043341209</v>
      </c>
      <c r="K15" s="266">
        <f t="shared" si="3"/>
        <v>2.3640661938534278</v>
      </c>
      <c r="L15" s="266">
        <f t="shared" si="4"/>
        <v>0</v>
      </c>
      <c r="M15" s="266">
        <f t="shared" si="5"/>
        <v>1.69424743892829</v>
      </c>
      <c r="N15" s="266">
        <f t="shared" si="6"/>
        <v>1.3790386130811663</v>
      </c>
      <c r="P15" s="257">
        <v>18.8</v>
      </c>
      <c r="Q15" s="177">
        <v>3</v>
      </c>
      <c r="R15" s="258">
        <v>6</v>
      </c>
      <c r="S15" s="177">
        <v>0</v>
      </c>
      <c r="T15" s="258">
        <v>4.3</v>
      </c>
      <c r="U15" s="177">
        <v>3.5</v>
      </c>
      <c r="V15" s="256"/>
      <c r="W15" s="256"/>
      <c r="X15" s="177" t="s">
        <v>1190</v>
      </c>
      <c r="Y15" s="177" t="s">
        <v>1189</v>
      </c>
      <c r="AC15" s="177"/>
      <c r="AD15" s="177"/>
    </row>
    <row r="16" spans="1:30" ht="25.5">
      <c r="A16" s="251" t="s">
        <v>1053</v>
      </c>
      <c r="B16" s="265">
        <v>14</v>
      </c>
      <c r="C16" s="254">
        <v>2527</v>
      </c>
      <c r="D16" s="177">
        <v>7.2</v>
      </c>
      <c r="F16" s="254">
        <v>12.1</v>
      </c>
      <c r="G16" s="255"/>
      <c r="H16" s="266">
        <f t="shared" si="0"/>
        <v>12.188365650969528</v>
      </c>
      <c r="I16" s="266">
        <f t="shared" si="1"/>
        <v>11.080332409972298</v>
      </c>
      <c r="J16" s="266">
        <f t="shared" si="2"/>
        <v>6.1337554412346655</v>
      </c>
      <c r="K16" s="266">
        <f t="shared" si="3"/>
        <v>2.5326474079936685</v>
      </c>
      <c r="L16" s="266">
        <f t="shared" si="4"/>
        <v>0</v>
      </c>
      <c r="M16" s="266">
        <f t="shared" si="5"/>
        <v>2.413929560743965</v>
      </c>
      <c r="N16" s="266">
        <f t="shared" si="6"/>
        <v>1.10803324099723</v>
      </c>
      <c r="O16" s="255"/>
      <c r="P16" s="258">
        <v>12.6</v>
      </c>
      <c r="Q16" s="255">
        <v>2.9</v>
      </c>
      <c r="R16" s="258">
        <v>6.4</v>
      </c>
      <c r="S16" s="255">
        <v>0</v>
      </c>
      <c r="T16" s="258">
        <v>6.1</v>
      </c>
      <c r="U16" s="258">
        <v>2.8</v>
      </c>
      <c r="V16" s="256"/>
      <c r="W16" s="256"/>
      <c r="X16" s="177" t="s">
        <v>1190</v>
      </c>
      <c r="Y16" s="177" t="s">
        <v>1189</v>
      </c>
      <c r="AC16" s="177"/>
      <c r="AD16" s="177"/>
    </row>
    <row r="17" spans="1:30">
      <c r="A17" s="260" t="s">
        <v>1041</v>
      </c>
      <c r="B17" s="264">
        <v>14</v>
      </c>
      <c r="C17" s="177">
        <v>5190</v>
      </c>
      <c r="D17" s="177">
        <v>3.6</v>
      </c>
      <c r="F17" s="177">
        <v>7.2</v>
      </c>
      <c r="G17" s="177">
        <v>2.5</v>
      </c>
      <c r="H17" s="266">
        <f t="shared" si="0"/>
        <v>6.4161849710982661</v>
      </c>
      <c r="I17" s="266">
        <f t="shared" si="1"/>
        <v>4.4123314065510595</v>
      </c>
      <c r="J17" s="266">
        <f t="shared" si="2"/>
        <v>1.6184971098265897</v>
      </c>
      <c r="K17" s="266">
        <f t="shared" si="3"/>
        <v>1.5028901734104045</v>
      </c>
      <c r="L17" s="266">
        <f t="shared" si="4"/>
        <v>0</v>
      </c>
      <c r="M17" s="266">
        <f t="shared" si="5"/>
        <v>1.2909441233140655</v>
      </c>
      <c r="N17" s="266">
        <f t="shared" si="6"/>
        <v>2.0038535645472062</v>
      </c>
      <c r="P17" s="177">
        <v>8.4</v>
      </c>
      <c r="R17" s="177">
        <v>7.8</v>
      </c>
      <c r="S17" s="177">
        <v>0</v>
      </c>
      <c r="T17" s="177">
        <v>6.7</v>
      </c>
      <c r="U17" s="177">
        <v>10.4</v>
      </c>
      <c r="V17" s="256"/>
      <c r="W17" s="256"/>
      <c r="X17" s="177" t="s">
        <v>1190</v>
      </c>
      <c r="Y17" s="177" t="s">
        <v>1189</v>
      </c>
      <c r="AC17" s="177"/>
      <c r="AD17" s="177"/>
    </row>
    <row r="18" spans="1:30">
      <c r="A18" s="260" t="s">
        <v>1041</v>
      </c>
      <c r="B18" s="264">
        <v>17</v>
      </c>
      <c r="C18" s="177">
        <v>5640</v>
      </c>
      <c r="D18" s="177">
        <v>4.9000000000000004</v>
      </c>
      <c r="F18" s="177">
        <v>14.4</v>
      </c>
      <c r="G18" s="177">
        <v>3.3</v>
      </c>
      <c r="H18" s="266">
        <f t="shared" si="0"/>
        <v>8.4219858156028362</v>
      </c>
      <c r="I18" s="266">
        <f t="shared" si="1"/>
        <v>6.1524822695035457</v>
      </c>
      <c r="J18" s="266">
        <f t="shared" si="2"/>
        <v>2.8723404255319149</v>
      </c>
      <c r="K18" s="266">
        <f t="shared" si="3"/>
        <v>1.6666666666666667</v>
      </c>
      <c r="L18" s="266">
        <f t="shared" si="4"/>
        <v>1.7730496453900711E-2</v>
      </c>
      <c r="M18" s="266">
        <f t="shared" si="5"/>
        <v>1.5957446808510638</v>
      </c>
      <c r="N18" s="266">
        <f t="shared" si="6"/>
        <v>2.2695035460992909</v>
      </c>
      <c r="P18" s="177">
        <v>16.2</v>
      </c>
      <c r="R18" s="177">
        <v>9.4</v>
      </c>
      <c r="S18" s="177">
        <v>0.1</v>
      </c>
      <c r="T18" s="177">
        <v>9</v>
      </c>
      <c r="U18" s="177">
        <v>12.8</v>
      </c>
      <c r="V18" s="256"/>
      <c r="W18" s="256"/>
      <c r="X18" s="177" t="s">
        <v>1190</v>
      </c>
      <c r="Y18" s="177" t="s">
        <v>1189</v>
      </c>
      <c r="AC18" s="177"/>
      <c r="AD18" s="177"/>
    </row>
    <row r="19" spans="1:30" ht="63.75">
      <c r="A19" s="260" t="s">
        <v>1041</v>
      </c>
      <c r="B19" s="264">
        <v>18</v>
      </c>
      <c r="C19" s="177">
        <v>5189</v>
      </c>
      <c r="D19" s="177">
        <v>5.5</v>
      </c>
      <c r="G19" s="182"/>
      <c r="H19" s="266">
        <f t="shared" si="0"/>
        <v>10.599344767777991</v>
      </c>
      <c r="I19" s="266">
        <f t="shared" si="1"/>
        <v>10.599344767777991</v>
      </c>
      <c r="J19" s="266">
        <f t="shared" si="2"/>
        <v>6.8799383310849862</v>
      </c>
      <c r="K19" s="266">
        <f t="shared" si="3"/>
        <v>2.5245712083253036</v>
      </c>
      <c r="L19" s="266">
        <f t="shared" si="4"/>
        <v>0</v>
      </c>
      <c r="M19" s="266">
        <f t="shared" si="5"/>
        <v>1.1948352283677008</v>
      </c>
      <c r="N19" s="266">
        <f t="shared" si="6"/>
        <v>0</v>
      </c>
      <c r="O19" s="177">
        <v>50</v>
      </c>
      <c r="P19" s="257">
        <v>28.4</v>
      </c>
      <c r="Q19" s="177">
        <v>7.3</v>
      </c>
      <c r="R19" s="258">
        <v>13.1</v>
      </c>
      <c r="T19" s="258">
        <v>6.2</v>
      </c>
      <c r="V19" s="256" t="s">
        <v>1059</v>
      </c>
      <c r="W19" s="256" t="s">
        <v>1060</v>
      </c>
      <c r="X19" s="177" t="s">
        <v>1190</v>
      </c>
      <c r="Y19" s="177" t="s">
        <v>1189</v>
      </c>
      <c r="AC19" s="177"/>
      <c r="AD19" s="177"/>
    </row>
    <row r="20" spans="1:30">
      <c r="A20" s="260" t="s">
        <v>1041</v>
      </c>
      <c r="B20" s="264">
        <v>20</v>
      </c>
      <c r="C20" s="177">
        <v>5400</v>
      </c>
      <c r="D20" s="177">
        <v>5.8</v>
      </c>
      <c r="F20" s="177">
        <v>19.600000000000001</v>
      </c>
      <c r="G20" s="177">
        <v>3.9</v>
      </c>
      <c r="H20" s="266">
        <f t="shared" si="0"/>
        <v>11.87037037037037</v>
      </c>
      <c r="I20" s="266">
        <f t="shared" si="1"/>
        <v>9.2777777777777768</v>
      </c>
      <c r="J20" s="266">
        <f t="shared" si="2"/>
        <v>5.0185185185185182</v>
      </c>
      <c r="K20" s="266">
        <f t="shared" si="3"/>
        <v>2.2222222222222223</v>
      </c>
      <c r="L20" s="266">
        <f t="shared" si="4"/>
        <v>9.2592592592592587E-2</v>
      </c>
      <c r="M20" s="266">
        <f t="shared" si="5"/>
        <v>1.9444444444444444</v>
      </c>
      <c r="N20" s="266">
        <f t="shared" si="6"/>
        <v>2.5925925925925926</v>
      </c>
      <c r="P20" s="177">
        <v>27.1</v>
      </c>
      <c r="R20" s="177">
        <v>12</v>
      </c>
      <c r="S20" s="177">
        <v>0.5</v>
      </c>
      <c r="T20" s="177">
        <v>10.5</v>
      </c>
      <c r="U20" s="177">
        <v>14</v>
      </c>
      <c r="V20" s="256"/>
      <c r="W20" s="256"/>
      <c r="X20" s="177" t="s">
        <v>1190</v>
      </c>
      <c r="Y20" s="177" t="s">
        <v>1189</v>
      </c>
      <c r="AC20" s="177"/>
      <c r="AD20" s="177"/>
    </row>
    <row r="21" spans="1:30">
      <c r="A21" s="260" t="s">
        <v>1041</v>
      </c>
      <c r="B21" s="264">
        <v>23</v>
      </c>
      <c r="C21" s="177">
        <v>3640</v>
      </c>
      <c r="D21" s="177">
        <v>8.1999999999999993</v>
      </c>
      <c r="F21" s="177">
        <v>25.3</v>
      </c>
      <c r="G21" s="177">
        <v>1.9</v>
      </c>
      <c r="H21" s="266">
        <f t="shared" si="0"/>
        <v>25.219780219780219</v>
      </c>
      <c r="I21" s="266">
        <f t="shared" si="1"/>
        <v>17.5</v>
      </c>
      <c r="J21" s="266">
        <f t="shared" si="2"/>
        <v>12.17032967032967</v>
      </c>
      <c r="K21" s="266">
        <f t="shared" si="3"/>
        <v>3.7912087912087911</v>
      </c>
      <c r="L21" s="266">
        <f t="shared" si="4"/>
        <v>0.13736263736263737</v>
      </c>
      <c r="M21" s="266">
        <f t="shared" si="5"/>
        <v>1.401098901098901</v>
      </c>
      <c r="N21" s="266">
        <f t="shared" si="6"/>
        <v>7.7197802197802199</v>
      </c>
      <c r="P21" s="177">
        <v>44.3</v>
      </c>
      <c r="R21" s="177">
        <v>13.8</v>
      </c>
      <c r="S21" s="177">
        <v>0.5</v>
      </c>
      <c r="T21" s="177">
        <v>5.0999999999999996</v>
      </c>
      <c r="U21" s="177">
        <v>28.1</v>
      </c>
      <c r="V21" s="256"/>
      <c r="W21" s="256"/>
      <c r="X21" s="177" t="s">
        <v>1190</v>
      </c>
      <c r="Y21" s="177" t="s">
        <v>1189</v>
      </c>
      <c r="AC21" s="177"/>
      <c r="AD21" s="177"/>
    </row>
    <row r="22" spans="1:30" ht="25.5">
      <c r="A22" s="262" t="s">
        <v>1057</v>
      </c>
      <c r="B22" s="264">
        <v>26</v>
      </c>
      <c r="C22" s="177">
        <v>3459</v>
      </c>
      <c r="D22" s="177">
        <v>13.7</v>
      </c>
      <c r="F22" s="177">
        <v>29.5</v>
      </c>
      <c r="G22" s="182"/>
      <c r="H22" s="266">
        <f t="shared" si="0"/>
        <v>33.593524139924831</v>
      </c>
      <c r="I22" s="266">
        <f t="shared" si="1"/>
        <v>30.442324371205551</v>
      </c>
      <c r="J22" s="266">
        <f t="shared" si="2"/>
        <v>24.371205550737209</v>
      </c>
      <c r="K22" s="266">
        <f t="shared" si="3"/>
        <v>3.0933795894767275</v>
      </c>
      <c r="L22" s="266">
        <f t="shared" si="4"/>
        <v>0</v>
      </c>
      <c r="M22" s="266">
        <f t="shared" si="5"/>
        <v>2.9777392309916162</v>
      </c>
      <c r="N22" s="266">
        <f t="shared" si="6"/>
        <v>3.151199768719283</v>
      </c>
      <c r="P22" s="257">
        <v>76.5</v>
      </c>
      <c r="Q22" s="177">
        <v>7.8</v>
      </c>
      <c r="R22" s="258">
        <v>10.7</v>
      </c>
      <c r="S22" s="177">
        <v>0</v>
      </c>
      <c r="T22" s="258">
        <v>10.3</v>
      </c>
      <c r="U22" s="177">
        <v>10.9</v>
      </c>
      <c r="V22" s="256"/>
      <c r="W22" s="256"/>
      <c r="X22" s="177" t="s">
        <v>1190</v>
      </c>
      <c r="Y22" s="177" t="s">
        <v>1189</v>
      </c>
      <c r="AC22" s="177"/>
      <c r="AD22" s="177"/>
    </row>
    <row r="23" spans="1:30" ht="25.5">
      <c r="A23" s="251" t="s">
        <v>1053</v>
      </c>
      <c r="B23" s="265">
        <v>27</v>
      </c>
      <c r="C23" s="254">
        <v>3164</v>
      </c>
      <c r="D23" s="177">
        <v>13.3</v>
      </c>
      <c r="F23" s="254">
        <v>27.4</v>
      </c>
      <c r="G23" s="255"/>
      <c r="H23" s="266">
        <f t="shared" si="0"/>
        <v>31.03666245259166</v>
      </c>
      <c r="I23" s="266">
        <f t="shared" si="1"/>
        <v>27.844500632111256</v>
      </c>
      <c r="J23" s="266">
        <f t="shared" si="2"/>
        <v>23.419721871049308</v>
      </c>
      <c r="K23" s="266">
        <f t="shared" si="3"/>
        <v>2.8761061946902653</v>
      </c>
      <c r="L23" s="266">
        <f t="shared" si="4"/>
        <v>0</v>
      </c>
      <c r="M23" s="266">
        <f t="shared" si="5"/>
        <v>1.5486725663716814</v>
      </c>
      <c r="N23" s="266">
        <f t="shared" si="6"/>
        <v>3.1921618204804045</v>
      </c>
      <c r="O23" s="255"/>
      <c r="P23" s="258">
        <v>66.900000000000006</v>
      </c>
      <c r="Q23" s="255">
        <v>7.2</v>
      </c>
      <c r="R23" s="258">
        <v>9.1</v>
      </c>
      <c r="S23" s="255">
        <v>0</v>
      </c>
      <c r="T23" s="258">
        <v>4.9000000000000004</v>
      </c>
      <c r="U23" s="258">
        <v>10.1</v>
      </c>
      <c r="V23" s="256"/>
      <c r="W23" s="256"/>
      <c r="X23" s="177" t="s">
        <v>1190</v>
      </c>
      <c r="Y23" s="177" t="s">
        <v>1189</v>
      </c>
      <c r="AC23" s="177"/>
      <c r="AD23" s="177"/>
    </row>
    <row r="24" spans="1:30" ht="89.25">
      <c r="A24" s="260" t="s">
        <v>1041</v>
      </c>
      <c r="B24" s="264">
        <v>28</v>
      </c>
      <c r="C24" s="177">
        <v>2911</v>
      </c>
      <c r="D24" s="177">
        <v>6.4</v>
      </c>
      <c r="F24" s="177">
        <v>7.7</v>
      </c>
      <c r="G24" s="259"/>
      <c r="H24" s="266">
        <f t="shared" si="0"/>
        <v>8.2789419443490218</v>
      </c>
      <c r="I24" s="266">
        <f t="shared" si="1"/>
        <v>5.8742700103057368</v>
      </c>
      <c r="J24" s="266">
        <f t="shared" si="2"/>
        <v>3.9505324630711094</v>
      </c>
      <c r="K24" s="266">
        <f t="shared" si="3"/>
        <v>1.1336310546204054</v>
      </c>
      <c r="L24" s="266">
        <f t="shared" si="4"/>
        <v>0</v>
      </c>
      <c r="M24" s="266">
        <f t="shared" si="5"/>
        <v>0.79010649261422194</v>
      </c>
      <c r="N24" s="266">
        <f t="shared" si="6"/>
        <v>2.4046719340432841</v>
      </c>
      <c r="O24" s="253">
        <v>30.2</v>
      </c>
      <c r="P24" s="257">
        <v>9.6</v>
      </c>
      <c r="Q24" s="177">
        <v>1.9</v>
      </c>
      <c r="R24" s="258">
        <v>3.3</v>
      </c>
      <c r="T24" s="258">
        <v>2.2999999999999998</v>
      </c>
      <c r="U24" s="258">
        <v>7</v>
      </c>
      <c r="V24" s="256" t="s">
        <v>1042</v>
      </c>
      <c r="W24" s="256" t="s">
        <v>1043</v>
      </c>
      <c r="X24" s="177" t="s">
        <v>1190</v>
      </c>
      <c r="Y24" s="177" t="s">
        <v>1189</v>
      </c>
      <c r="AC24" s="177"/>
      <c r="AD24" s="177"/>
    </row>
    <row r="25" spans="1:30" ht="51">
      <c r="A25" s="262" t="s">
        <v>1053</v>
      </c>
      <c r="B25" s="264">
        <v>28</v>
      </c>
      <c r="C25" s="177">
        <v>3102</v>
      </c>
      <c r="D25" s="177">
        <v>13.4</v>
      </c>
      <c r="F25" s="177">
        <v>29.8</v>
      </c>
      <c r="G25" s="182"/>
      <c r="H25" s="266">
        <f t="shared" si="0"/>
        <v>33.945841392649911</v>
      </c>
      <c r="I25" s="266">
        <f t="shared" si="1"/>
        <v>30.012894906511931</v>
      </c>
      <c r="J25" s="266">
        <f t="shared" si="2"/>
        <v>24.468085106382979</v>
      </c>
      <c r="K25" s="266">
        <f t="shared" si="3"/>
        <v>3.4171502256608641</v>
      </c>
      <c r="L25" s="266">
        <f t="shared" si="4"/>
        <v>0</v>
      </c>
      <c r="M25" s="266">
        <f t="shared" si="5"/>
        <v>2.1276595744680851</v>
      </c>
      <c r="N25" s="266">
        <f t="shared" si="6"/>
        <v>3.9329464861379755</v>
      </c>
      <c r="P25" s="257">
        <v>68.7</v>
      </c>
      <c r="Q25" s="177">
        <v>7.2</v>
      </c>
      <c r="R25" s="258">
        <v>10.6</v>
      </c>
      <c r="S25" s="177">
        <v>0</v>
      </c>
      <c r="T25" s="258">
        <v>6.6</v>
      </c>
      <c r="U25" s="177">
        <v>12.2</v>
      </c>
      <c r="V25" s="256"/>
      <c r="W25" s="256" t="s">
        <v>1058</v>
      </c>
      <c r="X25" s="177" t="s">
        <v>1190</v>
      </c>
      <c r="Y25" s="177" t="s">
        <v>1189</v>
      </c>
      <c r="AC25" s="177"/>
      <c r="AD25" s="177"/>
    </row>
    <row r="26" spans="1:30">
      <c r="A26" s="260" t="s">
        <v>1041</v>
      </c>
      <c r="B26" s="264">
        <v>28</v>
      </c>
      <c r="C26" s="177">
        <v>2125</v>
      </c>
      <c r="D26" s="177">
        <v>11.9</v>
      </c>
      <c r="H26" s="266">
        <f t="shared" si="0"/>
        <v>44.28235294117647</v>
      </c>
      <c r="I26" s="266">
        <f t="shared" si="1"/>
        <v>44.28235294117647</v>
      </c>
      <c r="J26" s="266">
        <f t="shared" si="2"/>
        <v>35.482352941176472</v>
      </c>
      <c r="K26" s="266">
        <f t="shared" si="3"/>
        <v>6.5882352941176467</v>
      </c>
      <c r="L26" s="266">
        <f t="shared" si="4"/>
        <v>0</v>
      </c>
      <c r="M26" s="266">
        <f t="shared" si="5"/>
        <v>2.2117647058823531</v>
      </c>
      <c r="N26" s="266">
        <f t="shared" si="6"/>
        <v>0</v>
      </c>
      <c r="O26" s="177">
        <v>138</v>
      </c>
      <c r="P26" s="257">
        <v>67</v>
      </c>
      <c r="Q26" s="177">
        <v>8.4</v>
      </c>
      <c r="R26" s="258">
        <v>14</v>
      </c>
      <c r="T26" s="258">
        <v>4.7</v>
      </c>
      <c r="U26" s="257"/>
      <c r="V26" s="256"/>
      <c r="W26" s="256"/>
      <c r="X26" s="177" t="s">
        <v>1190</v>
      </c>
      <c r="Y26" s="177" t="s">
        <v>1189</v>
      </c>
      <c r="AC26" s="177"/>
      <c r="AD26" s="177"/>
    </row>
    <row r="27" spans="1:30" ht="25.5">
      <c r="A27" s="262" t="s">
        <v>1053</v>
      </c>
      <c r="B27" s="264">
        <v>29</v>
      </c>
      <c r="C27" s="177">
        <v>1337</v>
      </c>
      <c r="D27" s="177">
        <v>14.8</v>
      </c>
      <c r="F27" s="177">
        <v>22.4</v>
      </c>
      <c r="G27" s="182"/>
      <c r="H27" s="266">
        <f t="shared" si="0"/>
        <v>67.763649962602841</v>
      </c>
      <c r="I27" s="266">
        <f t="shared" si="1"/>
        <v>60.957367240089752</v>
      </c>
      <c r="J27" s="266">
        <f t="shared" si="2"/>
        <v>47.270007479431563</v>
      </c>
      <c r="K27" s="266">
        <f t="shared" si="3"/>
        <v>9.2744951383694847</v>
      </c>
      <c r="L27" s="266">
        <f t="shared" si="4"/>
        <v>0.14958863126402394</v>
      </c>
      <c r="M27" s="266">
        <f t="shared" si="5"/>
        <v>4.263275991024682</v>
      </c>
      <c r="N27" s="266">
        <f t="shared" si="6"/>
        <v>6.8062827225130889</v>
      </c>
      <c r="P27" s="257">
        <v>57.5</v>
      </c>
      <c r="Q27" s="177">
        <v>5.7</v>
      </c>
      <c r="R27" s="258">
        <v>12.4</v>
      </c>
      <c r="S27" s="177">
        <v>0.2</v>
      </c>
      <c r="T27" s="258">
        <v>5.7</v>
      </c>
      <c r="U27" s="177">
        <v>9.1</v>
      </c>
      <c r="V27" s="256"/>
      <c r="W27" s="256"/>
      <c r="X27" s="177" t="s">
        <v>1190</v>
      </c>
      <c r="Y27" s="177" t="s">
        <v>1189</v>
      </c>
      <c r="AC27" s="177"/>
      <c r="AD27" s="177"/>
    </row>
    <row r="28" spans="1:30">
      <c r="A28" s="260" t="s">
        <v>1041</v>
      </c>
      <c r="B28" s="264">
        <v>31</v>
      </c>
      <c r="C28" s="177">
        <v>2370</v>
      </c>
      <c r="D28" s="177">
        <v>12.6</v>
      </c>
      <c r="F28" s="177">
        <v>36</v>
      </c>
      <c r="G28" s="177">
        <v>3.1</v>
      </c>
      <c r="H28" s="266">
        <f t="shared" si="0"/>
        <v>53.881856540084385</v>
      </c>
      <c r="I28" s="266">
        <f t="shared" si="1"/>
        <v>42.194092827004219</v>
      </c>
      <c r="J28" s="266">
        <f t="shared" si="2"/>
        <v>34.472573839662445</v>
      </c>
      <c r="K28" s="266">
        <f t="shared" si="3"/>
        <v>3.9662447257383966</v>
      </c>
      <c r="L28" s="266">
        <f t="shared" si="4"/>
        <v>0.25316455696202533</v>
      </c>
      <c r="M28" s="266">
        <f t="shared" si="5"/>
        <v>3.5021097046413501</v>
      </c>
      <c r="N28" s="266">
        <f t="shared" si="6"/>
        <v>11.687763713080169</v>
      </c>
      <c r="P28" s="177">
        <v>81.7</v>
      </c>
      <c r="R28" s="177">
        <v>9.4</v>
      </c>
      <c r="S28" s="177">
        <v>0.6</v>
      </c>
      <c r="T28" s="177">
        <v>8.3000000000000007</v>
      </c>
      <c r="U28" s="177">
        <v>27.7</v>
      </c>
      <c r="V28" s="256"/>
      <c r="W28" s="256"/>
      <c r="X28" s="177" t="s">
        <v>1190</v>
      </c>
      <c r="Y28" s="177" t="s">
        <v>1189</v>
      </c>
      <c r="AC28" s="177"/>
      <c r="AD28" s="177"/>
    </row>
    <row r="29" spans="1:30" ht="51">
      <c r="A29" s="260" t="s">
        <v>1041</v>
      </c>
      <c r="B29" s="264">
        <v>33</v>
      </c>
      <c r="C29" s="177">
        <v>4260</v>
      </c>
      <c r="D29" s="177">
        <v>15</v>
      </c>
      <c r="F29" s="177">
        <v>43</v>
      </c>
      <c r="H29" s="266">
        <f t="shared" si="0"/>
        <v>41.36150234741784</v>
      </c>
      <c r="I29" s="266">
        <f t="shared" si="1"/>
        <v>32.887323943661968</v>
      </c>
      <c r="J29" s="266">
        <f t="shared" si="2"/>
        <v>27.887323943661972</v>
      </c>
      <c r="K29" s="266">
        <f t="shared" si="3"/>
        <v>3.2863849765258215</v>
      </c>
      <c r="L29" s="266">
        <f t="shared" si="4"/>
        <v>0</v>
      </c>
      <c r="M29" s="266">
        <f t="shared" si="5"/>
        <v>1.7136150234741785</v>
      </c>
      <c r="N29" s="266">
        <f t="shared" si="6"/>
        <v>8.4741784037558681</v>
      </c>
      <c r="P29" s="177">
        <v>118.8</v>
      </c>
      <c r="R29" s="177">
        <v>14</v>
      </c>
      <c r="T29" s="177">
        <v>7.3</v>
      </c>
      <c r="U29" s="177">
        <v>36.1</v>
      </c>
      <c r="V29" s="256" t="s">
        <v>1063</v>
      </c>
      <c r="W29" s="256" t="s">
        <v>1064</v>
      </c>
      <c r="X29" s="177" t="s">
        <v>1190</v>
      </c>
      <c r="Y29" s="177" t="s">
        <v>1189</v>
      </c>
      <c r="AC29" s="177"/>
      <c r="AD29" s="177"/>
    </row>
    <row r="30" spans="1:30" ht="25.5">
      <c r="A30" s="262" t="s">
        <v>1057</v>
      </c>
      <c r="B30" s="264">
        <v>34</v>
      </c>
      <c r="C30" s="177">
        <v>1116</v>
      </c>
      <c r="D30" s="177">
        <v>15.1</v>
      </c>
      <c r="F30" s="177">
        <v>21.7</v>
      </c>
      <c r="G30" s="182"/>
      <c r="H30" s="266">
        <f t="shared" si="0"/>
        <v>84.946236559139791</v>
      </c>
      <c r="I30" s="266">
        <f t="shared" si="1"/>
        <v>72.670250896057354</v>
      </c>
      <c r="J30" s="266">
        <f t="shared" si="2"/>
        <v>59.767025089605738</v>
      </c>
      <c r="K30" s="266">
        <f t="shared" si="3"/>
        <v>7.9749103942652333</v>
      </c>
      <c r="L30" s="266">
        <f t="shared" si="4"/>
        <v>8.9605734767025089E-2</v>
      </c>
      <c r="M30" s="266">
        <f t="shared" si="5"/>
        <v>4.838709677419355</v>
      </c>
      <c r="N30" s="266">
        <f t="shared" si="6"/>
        <v>12.275985663082437</v>
      </c>
      <c r="P30" s="257">
        <v>61.4</v>
      </c>
      <c r="Q30" s="177">
        <v>5.3</v>
      </c>
      <c r="R30" s="258">
        <v>8.9</v>
      </c>
      <c r="S30" s="177">
        <v>0.1</v>
      </c>
      <c r="T30" s="258">
        <v>5.4</v>
      </c>
      <c r="U30" s="257">
        <v>13.7</v>
      </c>
      <c r="V30" s="256"/>
      <c r="W30" s="256"/>
      <c r="X30" s="177" t="s">
        <v>1190</v>
      </c>
      <c r="Y30" s="177" t="s">
        <v>1189</v>
      </c>
      <c r="AC30" s="177"/>
      <c r="AD30" s="177"/>
    </row>
    <row r="31" spans="1:30">
      <c r="A31" s="260" t="s">
        <v>1041</v>
      </c>
      <c r="B31" s="264">
        <v>35</v>
      </c>
      <c r="C31" s="177">
        <v>1890</v>
      </c>
      <c r="D31" s="177">
        <v>14.2</v>
      </c>
      <c r="F31" s="177">
        <v>32.5</v>
      </c>
      <c r="G31" s="177">
        <v>3.6</v>
      </c>
      <c r="H31" s="266">
        <f t="shared" si="0"/>
        <v>86.137566137566139</v>
      </c>
      <c r="I31" s="266">
        <f t="shared" si="1"/>
        <v>62.857142857142854</v>
      </c>
      <c r="J31" s="266">
        <f t="shared" si="2"/>
        <v>52.275132275132272</v>
      </c>
      <c r="K31" s="266">
        <f t="shared" si="3"/>
        <v>5.0793650793650791</v>
      </c>
      <c r="L31" s="266">
        <f t="shared" si="4"/>
        <v>0.31746031746031744</v>
      </c>
      <c r="M31" s="266">
        <f t="shared" si="5"/>
        <v>5.1851851851851851</v>
      </c>
      <c r="N31" s="266">
        <f t="shared" si="6"/>
        <v>23.280423280423282</v>
      </c>
      <c r="P31" s="177">
        <v>98.8</v>
      </c>
      <c r="R31" s="177">
        <v>9.6</v>
      </c>
      <c r="S31" s="177">
        <v>0.6</v>
      </c>
      <c r="T31" s="177">
        <v>9.8000000000000007</v>
      </c>
      <c r="U31" s="177">
        <v>44</v>
      </c>
      <c r="V31" s="256"/>
      <c r="W31" s="256"/>
      <c r="X31" s="177" t="s">
        <v>1190</v>
      </c>
      <c r="Y31" s="177" t="s">
        <v>1189</v>
      </c>
      <c r="AC31" s="177"/>
      <c r="AD31" s="177"/>
    </row>
    <row r="32" spans="1:30">
      <c r="A32" s="250" t="s">
        <v>1041</v>
      </c>
      <c r="B32" s="265">
        <v>45</v>
      </c>
      <c r="C32" s="254">
        <v>1420</v>
      </c>
      <c r="D32" s="177">
        <v>15.4</v>
      </c>
      <c r="F32" s="254">
        <v>19.899999999999999</v>
      </c>
      <c r="G32" s="255"/>
      <c r="H32" s="266">
        <f t="shared" si="0"/>
        <v>64.788732394366193</v>
      </c>
      <c r="I32" s="266">
        <f t="shared" si="1"/>
        <v>51.197183098591545</v>
      </c>
      <c r="J32" s="266">
        <f t="shared" si="2"/>
        <v>42.887323943661968</v>
      </c>
      <c r="K32" s="266">
        <f t="shared" si="3"/>
        <v>5.211267605633803</v>
      </c>
      <c r="L32" s="266">
        <f t="shared" si="4"/>
        <v>0</v>
      </c>
      <c r="M32" s="266">
        <f t="shared" si="5"/>
        <v>3.0985915492957745</v>
      </c>
      <c r="N32" s="266">
        <f t="shared" si="6"/>
        <v>13.591549295774648</v>
      </c>
      <c r="O32" s="255">
        <v>148.80000000000001</v>
      </c>
      <c r="P32" s="258">
        <v>55.6</v>
      </c>
      <c r="Q32" s="255">
        <v>5.3</v>
      </c>
      <c r="R32" s="258">
        <v>7.4</v>
      </c>
      <c r="S32" s="255"/>
      <c r="T32" s="258">
        <v>4.4000000000000004</v>
      </c>
      <c r="U32" s="258">
        <v>19.3</v>
      </c>
      <c r="V32" s="256"/>
      <c r="W32" s="261"/>
      <c r="X32" s="177" t="s">
        <v>1190</v>
      </c>
      <c r="Y32" s="177" t="s">
        <v>1189</v>
      </c>
      <c r="AC32" s="177"/>
      <c r="AD32" s="177"/>
    </row>
    <row r="33" spans="1:30">
      <c r="A33" s="250" t="s">
        <v>1041</v>
      </c>
      <c r="B33" s="265">
        <v>47</v>
      </c>
      <c r="C33" s="254">
        <v>845</v>
      </c>
      <c r="D33" s="177">
        <v>12</v>
      </c>
      <c r="F33" s="254">
        <v>12.1</v>
      </c>
      <c r="G33" s="255"/>
      <c r="H33" s="266">
        <f t="shared" si="0"/>
        <v>61.18343195266273</v>
      </c>
      <c r="I33" s="266">
        <f t="shared" si="1"/>
        <v>48.165680473372788</v>
      </c>
      <c r="J33" s="266">
        <f t="shared" si="2"/>
        <v>35.976331360946752</v>
      </c>
      <c r="K33" s="266">
        <f t="shared" si="3"/>
        <v>8.0473372781065091</v>
      </c>
      <c r="L33" s="266">
        <f t="shared" si="4"/>
        <v>0</v>
      </c>
      <c r="M33" s="266">
        <f t="shared" si="5"/>
        <v>4.1420118343195265</v>
      </c>
      <c r="N33" s="266">
        <f t="shared" si="6"/>
        <v>13.017751479289942</v>
      </c>
      <c r="O33" s="255">
        <v>75.5</v>
      </c>
      <c r="P33" s="258">
        <v>27.1</v>
      </c>
      <c r="Q33" s="255">
        <v>3.3</v>
      </c>
      <c r="R33" s="258">
        <v>6.8</v>
      </c>
      <c r="S33" s="255"/>
      <c r="T33" s="258">
        <v>3.5</v>
      </c>
      <c r="U33" s="258">
        <v>11</v>
      </c>
      <c r="V33" s="256"/>
      <c r="W33" s="256"/>
      <c r="X33" s="177" t="s">
        <v>1190</v>
      </c>
      <c r="Y33" s="177" t="s">
        <v>1189</v>
      </c>
      <c r="AC33" s="177"/>
      <c r="AD33" s="177"/>
    </row>
    <row r="34" spans="1:30" ht="25.5">
      <c r="A34" s="262" t="s">
        <v>1056</v>
      </c>
      <c r="B34" s="264">
        <v>50</v>
      </c>
      <c r="C34" s="177">
        <v>1775</v>
      </c>
      <c r="D34" s="177">
        <v>14.8</v>
      </c>
      <c r="F34" s="177">
        <v>22.9</v>
      </c>
      <c r="G34" s="182"/>
      <c r="H34" s="266">
        <f t="shared" si="0"/>
        <v>49.577464788732385</v>
      </c>
      <c r="I34" s="266">
        <f t="shared" si="1"/>
        <v>42.760563380281681</v>
      </c>
      <c r="J34" s="266">
        <f t="shared" si="2"/>
        <v>36.845070422535208</v>
      </c>
      <c r="K34" s="266">
        <f t="shared" si="3"/>
        <v>3.436619718309859</v>
      </c>
      <c r="L34" s="266">
        <f t="shared" si="4"/>
        <v>0</v>
      </c>
      <c r="M34" s="266">
        <f t="shared" si="5"/>
        <v>2.4788732394366195</v>
      </c>
      <c r="N34" s="266">
        <f t="shared" si="6"/>
        <v>6.816901408450704</v>
      </c>
      <c r="P34" s="257">
        <v>58.8</v>
      </c>
      <c r="Q34" s="177">
        <v>6.6</v>
      </c>
      <c r="R34" s="258">
        <v>6.1</v>
      </c>
      <c r="S34" s="177">
        <v>0</v>
      </c>
      <c r="T34" s="258">
        <v>4.4000000000000004</v>
      </c>
      <c r="U34" s="177">
        <v>12.1</v>
      </c>
      <c r="V34" s="256"/>
      <c r="W34" s="256"/>
      <c r="X34" s="177" t="s">
        <v>1190</v>
      </c>
      <c r="Y34" s="177" t="s">
        <v>1189</v>
      </c>
      <c r="AC34" s="177"/>
      <c r="AD34" s="177"/>
    </row>
    <row r="35" spans="1:30">
      <c r="A35" s="260" t="s">
        <v>1041</v>
      </c>
      <c r="B35" s="264">
        <v>55</v>
      </c>
      <c r="C35" s="177">
        <v>760</v>
      </c>
      <c r="D35" s="177">
        <v>16</v>
      </c>
      <c r="F35" s="177">
        <v>30.8</v>
      </c>
      <c r="G35" s="177">
        <v>2.7</v>
      </c>
      <c r="H35" s="266">
        <f t="shared" si="0"/>
        <v>199.07894736842107</v>
      </c>
      <c r="I35" s="266">
        <f t="shared" si="1"/>
        <v>154.21052631578948</v>
      </c>
      <c r="J35" s="266">
        <f t="shared" si="2"/>
        <v>127.23684210526316</v>
      </c>
      <c r="K35" s="266">
        <f t="shared" si="3"/>
        <v>16.184210526315791</v>
      </c>
      <c r="L35" s="266">
        <f t="shared" si="4"/>
        <v>1.3157894736842106</v>
      </c>
      <c r="M35" s="266">
        <f t="shared" si="5"/>
        <v>9.473684210526315</v>
      </c>
      <c r="N35" s="266">
        <f t="shared" si="6"/>
        <v>44.868421052631582</v>
      </c>
      <c r="P35" s="177">
        <v>96.7</v>
      </c>
      <c r="R35" s="177">
        <v>12.3</v>
      </c>
      <c r="S35" s="177">
        <v>1</v>
      </c>
      <c r="T35" s="177">
        <v>7.2</v>
      </c>
      <c r="U35" s="177">
        <v>34.1</v>
      </c>
      <c r="V35" s="256"/>
      <c r="W35" s="256"/>
      <c r="X35" s="177" t="s">
        <v>1190</v>
      </c>
      <c r="Y35" s="177" t="s">
        <v>1189</v>
      </c>
      <c r="AC35" s="177"/>
      <c r="AD35" s="177"/>
    </row>
    <row r="36" spans="1:30">
      <c r="A36" s="260" t="s">
        <v>1041</v>
      </c>
      <c r="B36" s="264">
        <v>64</v>
      </c>
      <c r="C36" s="177">
        <v>815</v>
      </c>
      <c r="D36" s="177">
        <v>16.5</v>
      </c>
      <c r="H36" s="266">
        <f t="shared" si="0"/>
        <v>145.76687116564418</v>
      </c>
      <c r="I36" s="266">
        <f t="shared" si="1"/>
        <v>145.76687116564418</v>
      </c>
      <c r="J36" s="266">
        <f t="shared" si="2"/>
        <v>119.50920245398773</v>
      </c>
      <c r="K36" s="266">
        <f t="shared" si="3"/>
        <v>20.490797546012271</v>
      </c>
      <c r="L36" s="266">
        <f t="shared" si="4"/>
        <v>0</v>
      </c>
      <c r="M36" s="266">
        <f t="shared" si="5"/>
        <v>5.7668711656441713</v>
      </c>
      <c r="N36" s="266">
        <f t="shared" si="6"/>
        <v>0</v>
      </c>
      <c r="O36" s="177">
        <v>157</v>
      </c>
      <c r="P36" s="177">
        <v>83.2</v>
      </c>
      <c r="Q36" s="177">
        <v>14.2</v>
      </c>
      <c r="R36" s="177">
        <v>16.7</v>
      </c>
      <c r="T36" s="177">
        <v>4.7</v>
      </c>
      <c r="V36" s="256"/>
      <c r="W36" s="256"/>
      <c r="X36" s="177" t="s">
        <v>1190</v>
      </c>
      <c r="Y36" s="177" t="s">
        <v>1189</v>
      </c>
      <c r="AC36" s="177"/>
      <c r="AD36" s="177"/>
    </row>
    <row r="37" spans="1:30" ht="25.5">
      <c r="A37" s="262" t="s">
        <v>1057</v>
      </c>
      <c r="B37" s="264">
        <v>77</v>
      </c>
      <c r="C37" s="177">
        <v>876</v>
      </c>
      <c r="D37" s="177">
        <v>17.100000000000001</v>
      </c>
      <c r="F37" s="177">
        <v>21.7</v>
      </c>
      <c r="G37" s="182"/>
      <c r="H37" s="266">
        <f t="shared" si="0"/>
        <v>103.65296803652969</v>
      </c>
      <c r="I37" s="266">
        <f t="shared" si="1"/>
        <v>90.6392694063927</v>
      </c>
      <c r="J37" s="266">
        <f t="shared" si="2"/>
        <v>76.369863013698634</v>
      </c>
      <c r="K37" s="266">
        <f t="shared" si="3"/>
        <v>7.8767123287671232</v>
      </c>
      <c r="L37" s="266">
        <f t="shared" si="4"/>
        <v>0.22831050228310501</v>
      </c>
      <c r="M37" s="266">
        <f t="shared" si="5"/>
        <v>6.1643835616438354</v>
      </c>
      <c r="N37" s="266">
        <f t="shared" si="6"/>
        <v>13.013698630136986</v>
      </c>
      <c r="P37" s="257">
        <v>61.2</v>
      </c>
      <c r="Q37" s="177">
        <v>5.7</v>
      </c>
      <c r="R37" s="258">
        <v>6.9</v>
      </c>
      <c r="S37" s="177">
        <v>0.2</v>
      </c>
      <c r="T37" s="258">
        <v>5.4</v>
      </c>
      <c r="U37" s="177">
        <v>11.4</v>
      </c>
      <c r="V37" s="256"/>
      <c r="W37" s="256"/>
      <c r="X37" s="177" t="s">
        <v>1190</v>
      </c>
      <c r="Y37" s="177" t="s">
        <v>1189</v>
      </c>
      <c r="AC37" s="177"/>
      <c r="AD37" s="177"/>
    </row>
    <row r="38" spans="1:30" ht="25.5">
      <c r="A38" s="262" t="s">
        <v>1056</v>
      </c>
      <c r="B38" s="264">
        <v>100</v>
      </c>
      <c r="C38" s="177">
        <v>453</v>
      </c>
      <c r="D38" s="177">
        <v>19.2</v>
      </c>
      <c r="F38" s="177">
        <v>19.7</v>
      </c>
      <c r="G38" s="182"/>
      <c r="H38" s="266">
        <f t="shared" si="0"/>
        <v>250.11037527593822</v>
      </c>
      <c r="I38" s="266">
        <f t="shared" si="1"/>
        <v>208.16777041942609</v>
      </c>
      <c r="J38" s="266">
        <f t="shared" si="2"/>
        <v>179.47019867549673</v>
      </c>
      <c r="K38" s="266">
        <f t="shared" si="3"/>
        <v>20.52980132450331</v>
      </c>
      <c r="L38" s="266">
        <f t="shared" si="4"/>
        <v>0.44150110375275936</v>
      </c>
      <c r="M38" s="266">
        <f t="shared" si="5"/>
        <v>7.7262693156732896</v>
      </c>
      <c r="N38" s="266">
        <f t="shared" si="6"/>
        <v>41.942604856512141</v>
      </c>
      <c r="P38" s="257">
        <v>76.400000000000006</v>
      </c>
      <c r="Q38" s="177">
        <v>4.9000000000000004</v>
      </c>
      <c r="R38" s="258">
        <v>9.3000000000000007</v>
      </c>
      <c r="S38" s="177">
        <v>0.2</v>
      </c>
      <c r="T38" s="258">
        <v>3.5</v>
      </c>
      <c r="U38" s="177">
        <v>19</v>
      </c>
      <c r="V38" s="256"/>
      <c r="W38" s="256"/>
      <c r="X38" s="177" t="s">
        <v>1190</v>
      </c>
      <c r="Y38" s="177" t="s">
        <v>1189</v>
      </c>
      <c r="AC38" s="177"/>
      <c r="AD38" s="177"/>
    </row>
    <row r="39" spans="1:30">
      <c r="A39" s="177" t="s">
        <v>1197</v>
      </c>
      <c r="D39" s="177">
        <v>4.0999999999999996</v>
      </c>
      <c r="E39" s="177">
        <v>4.7</v>
      </c>
      <c r="H39" s="223"/>
      <c r="I39" s="223"/>
      <c r="J39" s="223">
        <v>2.8860000000000001</v>
      </c>
      <c r="K39" s="223">
        <v>0.78700000000000003</v>
      </c>
      <c r="L39" s="223"/>
      <c r="M39" s="223">
        <v>0.76500000000000001</v>
      </c>
      <c r="N39" s="223"/>
      <c r="X39" s="177" t="s">
        <v>1196</v>
      </c>
    </row>
    <row r="40" spans="1:30">
      <c r="A40" s="177" t="s">
        <v>1198</v>
      </c>
      <c r="D40" s="177">
        <v>1.65</v>
      </c>
      <c r="E40" s="177">
        <v>1.1000000000000001</v>
      </c>
      <c r="H40" s="223"/>
      <c r="I40" s="223"/>
      <c r="J40" s="223">
        <v>0.152</v>
      </c>
      <c r="K40" s="223">
        <v>1.6E-2</v>
      </c>
      <c r="L40" s="223"/>
      <c r="M40" s="223">
        <v>4.8000000000000001E-2</v>
      </c>
      <c r="N40" s="223"/>
      <c r="X40" s="177" t="s">
        <v>1196</v>
      </c>
      <c r="AB40" s="256"/>
      <c r="AD40" s="177"/>
    </row>
    <row r="41" spans="1:30">
      <c r="A41" s="177" t="s">
        <v>1199</v>
      </c>
      <c r="D41" s="177">
        <v>8.8000000000000007</v>
      </c>
      <c r="E41" s="177">
        <v>10</v>
      </c>
      <c r="H41" s="223"/>
      <c r="I41" s="223"/>
      <c r="J41" s="223">
        <v>14.097</v>
      </c>
      <c r="K41" s="223">
        <v>3.7909999999999999</v>
      </c>
      <c r="L41" s="223"/>
      <c r="M41" s="223">
        <v>0.95499999999999996</v>
      </c>
      <c r="N41" s="223"/>
      <c r="X41" s="177" t="s">
        <v>1196</v>
      </c>
      <c r="AB41" s="256"/>
      <c r="AD41" s="177"/>
    </row>
    <row r="42" spans="1:30">
      <c r="A42" s="177" t="s">
        <v>1201</v>
      </c>
      <c r="B42" s="177">
        <v>3</v>
      </c>
      <c r="H42" s="223">
        <v>2.2799999999999998</v>
      </c>
      <c r="I42" s="223">
        <v>1.51</v>
      </c>
      <c r="J42" s="223"/>
      <c r="K42" s="223"/>
      <c r="L42" s="223"/>
      <c r="M42" s="223"/>
      <c r="N42" s="223">
        <v>0.77</v>
      </c>
      <c r="X42" s="177" t="s">
        <v>1209</v>
      </c>
      <c r="AB42" s="256"/>
      <c r="AD42" s="177"/>
    </row>
    <row r="43" spans="1:30">
      <c r="A43" s="177" t="s">
        <v>1202</v>
      </c>
      <c r="B43" s="177">
        <v>3</v>
      </c>
      <c r="H43" s="223">
        <v>1.62</v>
      </c>
      <c r="I43" s="223">
        <v>1.04</v>
      </c>
      <c r="J43" s="223"/>
      <c r="K43" s="223"/>
      <c r="L43" s="223"/>
      <c r="M43" s="223"/>
      <c r="N43" s="223">
        <v>0.57999999999999996</v>
      </c>
      <c r="X43" s="177" t="s">
        <v>1209</v>
      </c>
      <c r="AB43" s="256"/>
      <c r="AD43" s="177"/>
    </row>
    <row r="44" spans="1:30">
      <c r="A44" s="177" t="s">
        <v>1203</v>
      </c>
      <c r="B44" s="177">
        <v>3</v>
      </c>
      <c r="H44" s="223">
        <v>1.74</v>
      </c>
      <c r="I44" s="223">
        <v>1.17</v>
      </c>
      <c r="J44" s="223"/>
      <c r="K44" s="223"/>
      <c r="L44" s="223"/>
      <c r="M44" s="223"/>
      <c r="N44" s="223">
        <v>0.56000000000000005</v>
      </c>
      <c r="X44" s="177" t="s">
        <v>1209</v>
      </c>
      <c r="AB44" s="256"/>
      <c r="AD44" s="177"/>
    </row>
    <row r="45" spans="1:30">
      <c r="A45" s="177" t="s">
        <v>1204</v>
      </c>
      <c r="B45" s="177">
        <v>3</v>
      </c>
      <c r="H45" s="223">
        <v>1.02</v>
      </c>
      <c r="I45" s="223">
        <v>0.84</v>
      </c>
      <c r="J45" s="223"/>
      <c r="K45" s="223"/>
      <c r="L45" s="223"/>
      <c r="M45" s="223"/>
      <c r="N45" s="223">
        <v>0.19</v>
      </c>
      <c r="X45" s="177" t="s">
        <v>1209</v>
      </c>
      <c r="AB45" s="256"/>
      <c r="AD45" s="177"/>
    </row>
    <row r="46" spans="1:30">
      <c r="A46" s="177" t="s">
        <v>1205</v>
      </c>
      <c r="B46" s="177">
        <v>2</v>
      </c>
      <c r="D46" s="177">
        <v>11.71</v>
      </c>
      <c r="H46" s="223">
        <v>2.17</v>
      </c>
      <c r="I46" s="223"/>
      <c r="J46" s="223">
        <v>0.51</v>
      </c>
      <c r="K46" s="223"/>
      <c r="L46" s="223"/>
      <c r="M46" s="223">
        <v>0.97</v>
      </c>
      <c r="N46" s="223">
        <v>0.69</v>
      </c>
      <c r="X46" s="177" t="s">
        <v>1210</v>
      </c>
      <c r="AB46" s="256"/>
      <c r="AD46" s="177"/>
    </row>
    <row r="47" spans="1:30">
      <c r="A47" s="177" t="s">
        <v>1206</v>
      </c>
      <c r="B47" s="177">
        <v>2</v>
      </c>
      <c r="D47" s="177">
        <v>12.28</v>
      </c>
      <c r="H47" s="223">
        <v>2.66</v>
      </c>
      <c r="I47" s="223"/>
      <c r="J47" s="223">
        <v>0.6</v>
      </c>
      <c r="K47" s="223"/>
      <c r="L47" s="223"/>
      <c r="M47" s="223">
        <v>1.22</v>
      </c>
      <c r="N47" s="223">
        <v>0.84</v>
      </c>
      <c r="X47" s="177" t="s">
        <v>1210</v>
      </c>
    </row>
    <row r="48" spans="1:30">
      <c r="A48" s="177" t="s">
        <v>1207</v>
      </c>
      <c r="B48" s="177">
        <v>2</v>
      </c>
      <c r="D48" s="177">
        <v>11.59</v>
      </c>
      <c r="H48" s="223">
        <v>2.0499999999999998</v>
      </c>
      <c r="I48" s="223"/>
      <c r="J48" s="223">
        <v>0.46</v>
      </c>
      <c r="K48" s="223"/>
      <c r="L48" s="223"/>
      <c r="M48" s="223">
        <v>0.99</v>
      </c>
      <c r="N48" s="223">
        <v>0.6</v>
      </c>
      <c r="X48" s="177" t="s">
        <v>1210</v>
      </c>
    </row>
    <row r="49" spans="1:30">
      <c r="A49" s="177" t="s">
        <v>1208</v>
      </c>
      <c r="B49" s="177">
        <v>2</v>
      </c>
      <c r="D49" s="177">
        <v>13.05</v>
      </c>
      <c r="H49" s="223">
        <v>1.36</v>
      </c>
      <c r="I49" s="223"/>
      <c r="J49" s="223">
        <v>0.34</v>
      </c>
      <c r="K49" s="223"/>
      <c r="L49" s="223"/>
      <c r="M49" s="223">
        <v>0.72</v>
      </c>
      <c r="N49" s="223">
        <v>0.3</v>
      </c>
      <c r="X49" s="177" t="s">
        <v>1210</v>
      </c>
    </row>
    <row r="50" spans="1:30">
      <c r="H50" s="223"/>
      <c r="I50" s="223"/>
      <c r="J50" s="223"/>
      <c r="K50" s="223"/>
      <c r="L50" s="223"/>
      <c r="M50" s="223"/>
      <c r="N50" s="223"/>
    </row>
    <row r="51" spans="1:30">
      <c r="H51" s="223"/>
      <c r="I51" s="223"/>
      <c r="J51" s="223"/>
      <c r="K51" s="223"/>
      <c r="L51" s="223"/>
      <c r="M51" s="223"/>
      <c r="N51" s="223"/>
    </row>
    <row r="52" spans="1:30" ht="38.25">
      <c r="A52" s="250" t="s">
        <v>1041</v>
      </c>
      <c r="B52" s="265">
        <v>17</v>
      </c>
      <c r="C52" s="254"/>
      <c r="D52" s="177">
        <v>5.4</v>
      </c>
      <c r="F52" s="254"/>
      <c r="G52" s="255"/>
      <c r="H52" s="266" t="e">
        <f t="shared" ref="H52:H57" si="7">I52+N52</f>
        <v>#DIV/0!</v>
      </c>
      <c r="I52" s="266" t="e">
        <f t="shared" ref="I52:I57" si="8">SUM(J52:M52)</f>
        <v>#DIV/0!</v>
      </c>
      <c r="J52" s="266" t="e">
        <f t="shared" ref="J52:J57" si="9">(P52+Q52)*1000/C52</f>
        <v>#DIV/0!</v>
      </c>
      <c r="K52" s="266" t="e">
        <f t="shared" ref="K52:K57" si="10">R52*1000/C52</f>
        <v>#DIV/0!</v>
      </c>
      <c r="L52" s="266" t="e">
        <f t="shared" ref="L52:L57" si="11">S52*1000/C52</f>
        <v>#DIV/0!</v>
      </c>
      <c r="M52" s="266" t="e">
        <f t="shared" ref="M52:M57" si="12">T52*1000/C52</f>
        <v>#DIV/0!</v>
      </c>
      <c r="N52" s="266" t="e">
        <f t="shared" ref="N52:N57" si="13">U52*1000/C52</f>
        <v>#DIV/0!</v>
      </c>
      <c r="O52" s="255"/>
      <c r="P52" s="258">
        <v>28.6</v>
      </c>
      <c r="Q52" s="255"/>
      <c r="R52" s="258">
        <v>14.2</v>
      </c>
      <c r="S52" s="255"/>
      <c r="T52" s="258">
        <v>7.3</v>
      </c>
      <c r="U52" s="258"/>
      <c r="V52" s="256"/>
      <c r="W52" s="256" t="s">
        <v>1044</v>
      </c>
      <c r="X52" s="177" t="s">
        <v>1190</v>
      </c>
      <c r="Y52" s="177" t="s">
        <v>1189</v>
      </c>
      <c r="AC52" s="177"/>
      <c r="AD52" s="177"/>
    </row>
    <row r="53" spans="1:30">
      <c r="A53" s="260" t="s">
        <v>1041</v>
      </c>
      <c r="B53" s="264">
        <v>17</v>
      </c>
      <c r="D53" s="177">
        <v>5.5</v>
      </c>
      <c r="G53" s="259"/>
      <c r="H53" s="266" t="e">
        <f t="shared" si="7"/>
        <v>#DIV/0!</v>
      </c>
      <c r="I53" s="266" t="e">
        <f t="shared" si="8"/>
        <v>#DIV/0!</v>
      </c>
      <c r="J53" s="266" t="e">
        <f t="shared" si="9"/>
        <v>#DIV/0!</v>
      </c>
      <c r="K53" s="266" t="e">
        <f t="shared" si="10"/>
        <v>#DIV/0!</v>
      </c>
      <c r="L53" s="266" t="e">
        <f t="shared" si="11"/>
        <v>#DIV/0!</v>
      </c>
      <c r="M53" s="266" t="e">
        <f t="shared" si="12"/>
        <v>#DIV/0!</v>
      </c>
      <c r="N53" s="266" t="e">
        <f t="shared" si="13"/>
        <v>#DIV/0!</v>
      </c>
      <c r="P53" s="257">
        <v>30.4</v>
      </c>
      <c r="R53" s="258">
        <v>14.2</v>
      </c>
      <c r="T53" s="258">
        <v>5.7</v>
      </c>
      <c r="U53" s="258"/>
      <c r="V53" s="256"/>
      <c r="W53" s="256"/>
      <c r="X53" s="177" t="s">
        <v>1190</v>
      </c>
      <c r="Y53" s="177" t="s">
        <v>1189</v>
      </c>
      <c r="AC53" s="177"/>
      <c r="AD53" s="177"/>
    </row>
    <row r="54" spans="1:30">
      <c r="A54" s="250" t="s">
        <v>1041</v>
      </c>
      <c r="B54" s="265">
        <v>17</v>
      </c>
      <c r="C54" s="254"/>
      <c r="D54" s="177">
        <v>5.7</v>
      </c>
      <c r="F54" s="254"/>
      <c r="G54" s="255"/>
      <c r="H54" s="266" t="e">
        <f t="shared" si="7"/>
        <v>#DIV/0!</v>
      </c>
      <c r="I54" s="266" t="e">
        <f t="shared" si="8"/>
        <v>#DIV/0!</v>
      </c>
      <c r="J54" s="266" t="e">
        <f t="shared" si="9"/>
        <v>#DIV/0!</v>
      </c>
      <c r="K54" s="266" t="e">
        <f t="shared" si="10"/>
        <v>#DIV/0!</v>
      </c>
      <c r="L54" s="266" t="e">
        <f t="shared" si="11"/>
        <v>#DIV/0!</v>
      </c>
      <c r="M54" s="266" t="e">
        <f t="shared" si="12"/>
        <v>#DIV/0!</v>
      </c>
      <c r="N54" s="266" t="e">
        <f t="shared" si="13"/>
        <v>#DIV/0!</v>
      </c>
      <c r="O54" s="255"/>
      <c r="P54" s="258">
        <v>27.1</v>
      </c>
      <c r="Q54" s="255"/>
      <c r="R54" s="258">
        <v>17.8</v>
      </c>
      <c r="S54" s="255"/>
      <c r="T54" s="258">
        <v>7.7</v>
      </c>
      <c r="U54" s="258"/>
      <c r="V54" s="256"/>
      <c r="W54" s="256"/>
      <c r="X54" s="177" t="s">
        <v>1190</v>
      </c>
      <c r="Y54" s="177" t="s">
        <v>1189</v>
      </c>
      <c r="AC54" s="177"/>
      <c r="AD54" s="177"/>
    </row>
    <row r="55" spans="1:30">
      <c r="A55" s="260" t="s">
        <v>1041</v>
      </c>
      <c r="B55" s="264">
        <v>17</v>
      </c>
      <c r="D55" s="177">
        <v>5.6</v>
      </c>
      <c r="G55" s="259"/>
      <c r="H55" s="266" t="e">
        <f t="shared" si="7"/>
        <v>#DIV/0!</v>
      </c>
      <c r="I55" s="266" t="e">
        <f t="shared" si="8"/>
        <v>#DIV/0!</v>
      </c>
      <c r="J55" s="266" t="e">
        <f t="shared" si="9"/>
        <v>#DIV/0!</v>
      </c>
      <c r="K55" s="266" t="e">
        <f t="shared" si="10"/>
        <v>#DIV/0!</v>
      </c>
      <c r="L55" s="266" t="e">
        <f t="shared" si="11"/>
        <v>#DIV/0!</v>
      </c>
      <c r="M55" s="266" t="e">
        <f t="shared" si="12"/>
        <v>#DIV/0!</v>
      </c>
      <c r="N55" s="266" t="e">
        <f t="shared" si="13"/>
        <v>#DIV/0!</v>
      </c>
      <c r="P55" s="257">
        <v>33.200000000000003</v>
      </c>
      <c r="R55" s="258">
        <v>13.1</v>
      </c>
      <c r="T55" s="258">
        <v>7.8</v>
      </c>
      <c r="U55" s="258"/>
      <c r="V55" s="256"/>
      <c r="W55" s="256"/>
      <c r="X55" s="177" t="s">
        <v>1190</v>
      </c>
      <c r="Y55" s="177" t="s">
        <v>1189</v>
      </c>
      <c r="AC55" s="177"/>
      <c r="AD55" s="177"/>
    </row>
    <row r="56" spans="1:30" ht="51">
      <c r="A56" s="260" t="s">
        <v>1041</v>
      </c>
      <c r="B56" s="264">
        <v>71</v>
      </c>
      <c r="D56" s="177">
        <v>24.1</v>
      </c>
      <c r="H56" s="266" t="e">
        <f t="shared" si="7"/>
        <v>#DIV/0!</v>
      </c>
      <c r="I56" s="266" t="e">
        <f t="shared" si="8"/>
        <v>#DIV/0!</v>
      </c>
      <c r="J56" s="266" t="e">
        <f t="shared" si="9"/>
        <v>#DIV/0!</v>
      </c>
      <c r="K56" s="266" t="e">
        <f t="shared" si="10"/>
        <v>#DIV/0!</v>
      </c>
      <c r="L56" s="266" t="e">
        <f t="shared" si="11"/>
        <v>#DIV/0!</v>
      </c>
      <c r="M56" s="266" t="e">
        <f t="shared" si="12"/>
        <v>#DIV/0!</v>
      </c>
      <c r="N56" s="266" t="e">
        <f t="shared" si="13"/>
        <v>#DIV/0!</v>
      </c>
      <c r="P56" s="177">
        <v>202.4</v>
      </c>
      <c r="T56" s="177">
        <v>13.9</v>
      </c>
      <c r="U56" s="177">
        <v>63.6</v>
      </c>
      <c r="V56" s="256" t="s">
        <v>1067</v>
      </c>
      <c r="W56" s="256" t="s">
        <v>1068</v>
      </c>
      <c r="X56" s="177" t="s">
        <v>1190</v>
      </c>
      <c r="Y56" s="177" t="s">
        <v>1189</v>
      </c>
      <c r="AC56" s="177"/>
      <c r="AD56" s="177"/>
    </row>
    <row r="57" spans="1:30" ht="63.75">
      <c r="A57" s="260" t="s">
        <v>1041</v>
      </c>
      <c r="B57" s="264">
        <v>100</v>
      </c>
      <c r="D57" s="177">
        <v>5</v>
      </c>
      <c r="H57" s="266" t="e">
        <f t="shared" si="7"/>
        <v>#DIV/0!</v>
      </c>
      <c r="I57" s="266" t="e">
        <f t="shared" si="8"/>
        <v>#DIV/0!</v>
      </c>
      <c r="J57" s="266" t="e">
        <f t="shared" si="9"/>
        <v>#DIV/0!</v>
      </c>
      <c r="K57" s="266" t="e">
        <f t="shared" si="10"/>
        <v>#DIV/0!</v>
      </c>
      <c r="L57" s="266" t="e">
        <f t="shared" si="11"/>
        <v>#DIV/0!</v>
      </c>
      <c r="M57" s="266" t="e">
        <f t="shared" si="12"/>
        <v>#DIV/0!</v>
      </c>
      <c r="N57" s="266" t="e">
        <f t="shared" si="13"/>
        <v>#DIV/0!</v>
      </c>
      <c r="P57" s="177">
        <v>17.899999999999999</v>
      </c>
      <c r="T57" s="177">
        <v>15.1</v>
      </c>
      <c r="U57" s="177">
        <v>4</v>
      </c>
      <c r="V57" s="256" t="s">
        <v>1069</v>
      </c>
      <c r="W57" s="256" t="s">
        <v>1070</v>
      </c>
      <c r="X57" s="177" t="s">
        <v>1190</v>
      </c>
      <c r="Y57" s="177" t="s">
        <v>1189</v>
      </c>
      <c r="AC57" s="177"/>
      <c r="AD57" s="177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M262"/>
  <sheetViews>
    <sheetView topLeftCell="C1" zoomScale="75" workbookViewId="0">
      <selection activeCell="A24" sqref="A24"/>
    </sheetView>
  </sheetViews>
  <sheetFormatPr baseColWidth="10" defaultRowHeight="12.75"/>
  <cols>
    <col min="1" max="1" width="22.28515625" style="177" customWidth="1"/>
    <col min="2" max="2" width="9" style="177" bestFit="1" customWidth="1"/>
    <col min="3" max="3" width="11.42578125" style="177"/>
    <col min="4" max="4" width="8.28515625" style="177" customWidth="1"/>
    <col min="5" max="5" width="10.5703125" style="177" customWidth="1"/>
    <col min="6" max="6" width="10" style="223" customWidth="1"/>
    <col min="7" max="7" width="10.7109375" style="177" customWidth="1"/>
    <col min="8" max="8" width="10.28515625" style="177" bestFit="1" customWidth="1"/>
    <col min="9" max="10" width="15.5703125" style="177" bestFit="1" customWidth="1"/>
    <col min="11" max="11" width="11.42578125" style="177"/>
    <col min="12" max="13" width="18.28515625" style="256" customWidth="1"/>
    <col min="14" max="16384" width="11.42578125" style="177"/>
  </cols>
  <sheetData>
    <row r="1" spans="1:13" ht="15.75">
      <c r="A1" s="248" t="s">
        <v>1212</v>
      </c>
      <c r="B1" s="248"/>
    </row>
    <row r="2" spans="1:13">
      <c r="A2" s="249"/>
      <c r="B2" s="249"/>
    </row>
    <row r="3" spans="1:13">
      <c r="A3" s="182"/>
      <c r="B3" s="182"/>
    </row>
    <row r="4" spans="1:13" ht="38.25">
      <c r="A4" s="260" t="s">
        <v>1020</v>
      </c>
      <c r="B4" s="260" t="s">
        <v>803</v>
      </c>
      <c r="C4" s="177" t="s">
        <v>1217</v>
      </c>
      <c r="D4" s="261" t="s">
        <v>1218</v>
      </c>
      <c r="E4" s="177" t="s">
        <v>1219</v>
      </c>
      <c r="F4" s="261" t="s">
        <v>1220</v>
      </c>
      <c r="G4" s="177" t="s">
        <v>1187</v>
      </c>
      <c r="H4" s="177" t="s">
        <v>1188</v>
      </c>
      <c r="J4" s="252"/>
      <c r="L4" s="177"/>
      <c r="M4" s="177"/>
    </row>
    <row r="5" spans="1:13">
      <c r="A5" s="177" t="s">
        <v>1205</v>
      </c>
      <c r="C5" s="177">
        <v>2</v>
      </c>
      <c r="D5" s="177">
        <v>0.1171</v>
      </c>
      <c r="F5" s="223">
        <v>9.7000000000000005E-4</v>
      </c>
      <c r="G5" s="177" t="s">
        <v>1209</v>
      </c>
      <c r="L5" s="177"/>
      <c r="M5" s="177"/>
    </row>
    <row r="6" spans="1:13">
      <c r="A6" s="177" t="s">
        <v>1206</v>
      </c>
      <c r="C6" s="177">
        <v>2</v>
      </c>
      <c r="D6" s="177">
        <v>0.12280000000000001</v>
      </c>
      <c r="F6" s="223">
        <v>1.2199999999999999E-3</v>
      </c>
      <c r="G6" s="177" t="s">
        <v>1209</v>
      </c>
      <c r="J6" s="252"/>
      <c r="L6" s="177"/>
      <c r="M6" s="177"/>
    </row>
    <row r="7" spans="1:13">
      <c r="A7" s="177" t="s">
        <v>1207</v>
      </c>
      <c r="C7" s="177">
        <v>2</v>
      </c>
      <c r="D7" s="177">
        <v>0.1159</v>
      </c>
      <c r="F7" s="223">
        <v>9.8999999999999999E-4</v>
      </c>
      <c r="G7" s="177" t="s">
        <v>1209</v>
      </c>
      <c r="L7" s="177"/>
      <c r="M7" s="177"/>
    </row>
    <row r="8" spans="1:13">
      <c r="A8" s="177" t="s">
        <v>1208</v>
      </c>
      <c r="C8" s="177">
        <v>2</v>
      </c>
      <c r="D8" s="177">
        <v>0.1305</v>
      </c>
      <c r="F8" s="223">
        <v>7.2000000000000005E-4</v>
      </c>
      <c r="G8" s="177" t="s">
        <v>1209</v>
      </c>
      <c r="L8" s="177"/>
      <c r="M8" s="177"/>
    </row>
    <row r="9" spans="1:13">
      <c r="A9" s="260" t="s">
        <v>1041</v>
      </c>
      <c r="B9" s="260"/>
      <c r="C9" s="264">
        <v>7</v>
      </c>
      <c r="D9" s="177">
        <v>1.4</v>
      </c>
      <c r="F9" s="223">
        <v>0.43659043659043661</v>
      </c>
      <c r="G9" s="177" t="s">
        <v>1190</v>
      </c>
      <c r="H9" s="177" t="s">
        <v>1189</v>
      </c>
      <c r="L9" s="177"/>
      <c r="M9" s="177"/>
    </row>
    <row r="10" spans="1:13" ht="25.5">
      <c r="A10" s="262" t="s">
        <v>1053</v>
      </c>
      <c r="B10" s="262"/>
      <c r="C10" s="264">
        <v>9</v>
      </c>
      <c r="D10" s="177">
        <v>5.7</v>
      </c>
      <c r="F10" s="223">
        <v>6.4039408866995071</v>
      </c>
      <c r="G10" s="177" t="s">
        <v>1190</v>
      </c>
      <c r="H10" s="177" t="s">
        <v>1189</v>
      </c>
      <c r="L10" s="177"/>
      <c r="M10" s="177"/>
    </row>
    <row r="11" spans="1:13">
      <c r="A11" s="260" t="s">
        <v>1041</v>
      </c>
      <c r="B11" s="260"/>
      <c r="C11" s="264">
        <v>11</v>
      </c>
      <c r="D11" s="177">
        <v>2.9</v>
      </c>
      <c r="F11" s="223">
        <v>1.3711583924349882</v>
      </c>
      <c r="G11" s="177" t="s">
        <v>1190</v>
      </c>
      <c r="H11" s="177" t="s">
        <v>1189</v>
      </c>
      <c r="L11" s="177"/>
      <c r="M11" s="177"/>
    </row>
    <row r="12" spans="1:13" ht="25.5">
      <c r="A12" s="262" t="s">
        <v>1056</v>
      </c>
      <c r="B12" s="262"/>
      <c r="C12" s="264">
        <v>12</v>
      </c>
      <c r="D12" s="177">
        <v>6.6</v>
      </c>
      <c r="F12" s="223">
        <v>1.8323153803442531</v>
      </c>
      <c r="G12" s="177" t="s">
        <v>1190</v>
      </c>
      <c r="H12" s="177" t="s">
        <v>1189</v>
      </c>
      <c r="L12" s="177"/>
      <c r="M12" s="177"/>
    </row>
    <row r="13" spans="1:13">
      <c r="A13" s="177" t="s">
        <v>1041</v>
      </c>
      <c r="B13" s="177">
        <v>1</v>
      </c>
      <c r="C13" s="177">
        <v>12</v>
      </c>
      <c r="D13" s="177">
        <v>2.8</v>
      </c>
      <c r="E13" s="177">
        <v>2.6</v>
      </c>
      <c r="F13" s="223">
        <v>0.34</v>
      </c>
      <c r="G13" s="177" t="s">
        <v>1214</v>
      </c>
      <c r="H13" s="177" t="s">
        <v>1215</v>
      </c>
      <c r="L13" s="177"/>
      <c r="M13" s="177"/>
    </row>
    <row r="14" spans="1:13">
      <c r="A14" s="177" t="s">
        <v>1041</v>
      </c>
      <c r="B14" s="177">
        <v>2</v>
      </c>
      <c r="C14" s="177">
        <v>12</v>
      </c>
      <c r="D14" s="177">
        <v>3.1</v>
      </c>
      <c r="E14" s="177">
        <v>3.3</v>
      </c>
      <c r="F14" s="223">
        <v>0.94</v>
      </c>
      <c r="G14" s="177" t="s">
        <v>1214</v>
      </c>
      <c r="H14" s="177" t="s">
        <v>1215</v>
      </c>
      <c r="L14" s="177"/>
      <c r="M14" s="177"/>
    </row>
    <row r="15" spans="1:13">
      <c r="A15" s="260" t="s">
        <v>1041</v>
      </c>
      <c r="B15" s="260"/>
      <c r="C15" s="264">
        <v>13</v>
      </c>
      <c r="D15" s="177">
        <v>5.5</v>
      </c>
      <c r="F15" s="223">
        <v>3.183023872679045</v>
      </c>
      <c r="G15" s="177" t="s">
        <v>1190</v>
      </c>
      <c r="H15" s="177" t="s">
        <v>1189</v>
      </c>
      <c r="L15" s="177"/>
      <c r="M15" s="177"/>
    </row>
    <row r="16" spans="1:13">
      <c r="A16" s="260" t="s">
        <v>1041</v>
      </c>
      <c r="B16" s="260"/>
      <c r="C16" s="264">
        <v>13</v>
      </c>
      <c r="D16" s="177">
        <v>5.9</v>
      </c>
      <c r="F16" s="257">
        <v>6.1139028475711896</v>
      </c>
      <c r="G16" s="177" t="s">
        <v>1190</v>
      </c>
      <c r="H16" s="177" t="s">
        <v>1189</v>
      </c>
      <c r="L16" s="177"/>
      <c r="M16" s="177"/>
    </row>
    <row r="17" spans="1:13">
      <c r="A17" s="260" t="s">
        <v>1041</v>
      </c>
      <c r="B17" s="260"/>
      <c r="C17" s="264">
        <v>13</v>
      </c>
      <c r="D17" s="177">
        <v>5.4</v>
      </c>
      <c r="F17" s="257">
        <v>5.787781350482315</v>
      </c>
      <c r="G17" s="177" t="s">
        <v>1190</v>
      </c>
      <c r="H17" s="177" t="s">
        <v>1189</v>
      </c>
      <c r="L17" s="177"/>
      <c r="M17" s="177"/>
    </row>
    <row r="18" spans="1:13">
      <c r="A18" s="250" t="s">
        <v>1041</v>
      </c>
      <c r="B18" s="250"/>
      <c r="C18" s="265">
        <v>13</v>
      </c>
      <c r="D18" s="177">
        <v>5</v>
      </c>
      <c r="F18" s="258">
        <v>4.8399687743950039</v>
      </c>
      <c r="G18" s="177" t="s">
        <v>1190</v>
      </c>
      <c r="H18" s="177" t="s">
        <v>1189</v>
      </c>
      <c r="L18" s="177"/>
      <c r="M18" s="177"/>
    </row>
    <row r="19" spans="1:13">
      <c r="A19" s="250" t="s">
        <v>1041</v>
      </c>
      <c r="B19" s="250"/>
      <c r="C19" s="265">
        <v>13</v>
      </c>
      <c r="D19" s="177">
        <v>5</v>
      </c>
      <c r="F19" s="258">
        <v>5.7093425605536332</v>
      </c>
      <c r="G19" s="177" t="s">
        <v>1190</v>
      </c>
      <c r="H19" s="177" t="s">
        <v>1189</v>
      </c>
      <c r="L19" s="177"/>
      <c r="M19" s="177"/>
    </row>
    <row r="20" spans="1:13" ht="25.5">
      <c r="A20" s="262" t="s">
        <v>1056</v>
      </c>
      <c r="B20" s="262"/>
      <c r="C20" s="264">
        <v>14</v>
      </c>
      <c r="D20" s="177">
        <v>7.7</v>
      </c>
      <c r="F20" s="257">
        <v>1.69424743892829</v>
      </c>
      <c r="G20" s="177" t="s">
        <v>1190</v>
      </c>
      <c r="H20" s="177" t="s">
        <v>1189</v>
      </c>
      <c r="L20" s="177"/>
      <c r="M20" s="177"/>
    </row>
    <row r="21" spans="1:13" ht="25.5">
      <c r="A21" s="251" t="s">
        <v>1053</v>
      </c>
      <c r="B21" s="251"/>
      <c r="C21" s="265">
        <v>14</v>
      </c>
      <c r="D21" s="177">
        <v>7.2</v>
      </c>
      <c r="F21" s="258">
        <v>2.413929560743965</v>
      </c>
      <c r="G21" s="177" t="s">
        <v>1190</v>
      </c>
      <c r="H21" s="177" t="s">
        <v>1189</v>
      </c>
      <c r="L21" s="177"/>
      <c r="M21" s="177"/>
    </row>
    <row r="22" spans="1:13">
      <c r="A22" s="260" t="s">
        <v>1041</v>
      </c>
      <c r="B22" s="260"/>
      <c r="C22" s="264">
        <v>14</v>
      </c>
      <c r="D22" s="177">
        <v>3.6</v>
      </c>
      <c r="F22" s="223">
        <v>1.2909441233140655</v>
      </c>
      <c r="G22" s="177" t="s">
        <v>1190</v>
      </c>
      <c r="H22" s="177" t="s">
        <v>1189</v>
      </c>
      <c r="L22" s="177"/>
      <c r="M22" s="177"/>
    </row>
    <row r="23" spans="1:13">
      <c r="A23" s="260" t="s">
        <v>1041</v>
      </c>
      <c r="B23" s="260"/>
      <c r="C23" s="264">
        <v>17</v>
      </c>
      <c r="D23" s="177">
        <v>4.9000000000000004</v>
      </c>
      <c r="F23" s="223">
        <v>1.5957446808510638</v>
      </c>
      <c r="G23" s="177" t="s">
        <v>1190</v>
      </c>
      <c r="H23" s="177" t="s">
        <v>1189</v>
      </c>
      <c r="L23" s="177"/>
      <c r="M23" s="177"/>
    </row>
    <row r="24" spans="1:13">
      <c r="A24" s="260" t="s">
        <v>1041</v>
      </c>
      <c r="B24" s="260"/>
      <c r="C24" s="264">
        <v>18</v>
      </c>
      <c r="D24" s="177">
        <v>5.5</v>
      </c>
      <c r="F24" s="257">
        <v>1.1948352283677008</v>
      </c>
      <c r="G24" s="177" t="s">
        <v>1190</v>
      </c>
      <c r="H24" s="177" t="s">
        <v>1189</v>
      </c>
      <c r="L24" s="177"/>
      <c r="M24" s="177"/>
    </row>
    <row r="25" spans="1:13">
      <c r="A25" s="177" t="s">
        <v>1041</v>
      </c>
      <c r="B25" s="177">
        <v>3</v>
      </c>
      <c r="C25" s="177">
        <v>18</v>
      </c>
      <c r="D25" s="177">
        <v>7.4</v>
      </c>
      <c r="E25" s="177">
        <v>13.8</v>
      </c>
      <c r="F25" s="223">
        <v>6.03</v>
      </c>
      <c r="G25" s="177" t="s">
        <v>1214</v>
      </c>
      <c r="H25" s="177" t="s">
        <v>1215</v>
      </c>
      <c r="L25" s="177"/>
      <c r="M25" s="177"/>
    </row>
    <row r="26" spans="1:13">
      <c r="A26" s="177" t="s">
        <v>1041</v>
      </c>
      <c r="B26" s="177">
        <v>4</v>
      </c>
      <c r="C26" s="177">
        <v>19</v>
      </c>
      <c r="D26" s="177">
        <v>5.6</v>
      </c>
      <c r="E26" s="177">
        <v>4.8</v>
      </c>
      <c r="F26" s="223">
        <v>0.3</v>
      </c>
      <c r="G26" s="177" t="s">
        <v>1214</v>
      </c>
      <c r="H26" s="177" t="s">
        <v>1215</v>
      </c>
      <c r="L26" s="177"/>
      <c r="M26" s="177"/>
    </row>
    <row r="27" spans="1:13">
      <c r="A27" s="177" t="s">
        <v>1041</v>
      </c>
      <c r="B27" s="177">
        <v>5</v>
      </c>
      <c r="C27" s="177">
        <v>19</v>
      </c>
      <c r="D27" s="177">
        <v>8.8000000000000007</v>
      </c>
      <c r="E27" s="177">
        <v>8.1999999999999993</v>
      </c>
      <c r="F27" s="223">
        <v>0.98</v>
      </c>
      <c r="G27" s="177" t="s">
        <v>1214</v>
      </c>
      <c r="H27" s="177" t="s">
        <v>1215</v>
      </c>
      <c r="L27" s="177"/>
      <c r="M27" s="177"/>
    </row>
    <row r="28" spans="1:13">
      <c r="A28" s="177" t="s">
        <v>1041</v>
      </c>
      <c r="B28" s="177">
        <v>6</v>
      </c>
      <c r="C28" s="177">
        <v>19</v>
      </c>
      <c r="D28" s="177">
        <v>8.6</v>
      </c>
      <c r="E28" s="177">
        <v>9.9</v>
      </c>
      <c r="F28" s="223">
        <v>1.43</v>
      </c>
      <c r="G28" s="177" t="s">
        <v>1214</v>
      </c>
      <c r="H28" s="177" t="s">
        <v>1215</v>
      </c>
      <c r="L28" s="177"/>
      <c r="M28" s="177"/>
    </row>
    <row r="29" spans="1:13">
      <c r="A29" s="177" t="s">
        <v>1041</v>
      </c>
      <c r="B29" s="177">
        <v>7</v>
      </c>
      <c r="C29" s="177">
        <v>19</v>
      </c>
      <c r="D29" s="177">
        <v>9.6</v>
      </c>
      <c r="E29" s="177">
        <v>11.2</v>
      </c>
      <c r="F29" s="223">
        <v>1.88</v>
      </c>
      <c r="G29" s="177" t="s">
        <v>1214</v>
      </c>
      <c r="H29" s="177" t="s">
        <v>1215</v>
      </c>
      <c r="L29" s="177"/>
      <c r="M29" s="177"/>
    </row>
    <row r="30" spans="1:13">
      <c r="A30" s="260" t="s">
        <v>1041</v>
      </c>
      <c r="B30" s="260"/>
      <c r="C30" s="264">
        <v>20</v>
      </c>
      <c r="D30" s="177">
        <v>5.8</v>
      </c>
      <c r="F30" s="223">
        <v>1.9444444444444444</v>
      </c>
      <c r="G30" s="177" t="s">
        <v>1190</v>
      </c>
      <c r="H30" s="177" t="s">
        <v>1189</v>
      </c>
      <c r="L30" s="177"/>
      <c r="M30" s="177"/>
    </row>
    <row r="31" spans="1:13">
      <c r="A31" s="177" t="s">
        <v>1041</v>
      </c>
      <c r="B31" s="177">
        <v>8</v>
      </c>
      <c r="C31" s="177">
        <v>20</v>
      </c>
      <c r="D31" s="177">
        <v>7.1</v>
      </c>
      <c r="E31" s="177">
        <v>6</v>
      </c>
      <c r="F31" s="223">
        <v>0.6</v>
      </c>
      <c r="G31" s="177" t="s">
        <v>1214</v>
      </c>
      <c r="H31" s="177" t="s">
        <v>1215</v>
      </c>
      <c r="L31" s="177"/>
      <c r="M31" s="177"/>
    </row>
    <row r="32" spans="1:13">
      <c r="A32" s="177" t="s">
        <v>1041</v>
      </c>
      <c r="B32" s="177">
        <v>9</v>
      </c>
      <c r="C32" s="177">
        <v>20</v>
      </c>
      <c r="D32" s="177">
        <v>8.1</v>
      </c>
      <c r="E32" s="177">
        <v>6.4</v>
      </c>
      <c r="F32" s="223">
        <v>0.6</v>
      </c>
      <c r="G32" s="177" t="s">
        <v>1214</v>
      </c>
      <c r="H32" s="177" t="s">
        <v>1215</v>
      </c>
      <c r="L32" s="177"/>
      <c r="M32" s="177"/>
    </row>
    <row r="33" spans="1:13">
      <c r="A33" s="177" t="s">
        <v>1041</v>
      </c>
      <c r="B33" s="177">
        <v>10</v>
      </c>
      <c r="C33" s="177">
        <v>20</v>
      </c>
      <c r="D33" s="177">
        <v>7.3</v>
      </c>
      <c r="E33" s="177">
        <v>7.6</v>
      </c>
      <c r="F33" s="223">
        <v>0.82</v>
      </c>
      <c r="G33" s="177" t="s">
        <v>1214</v>
      </c>
      <c r="H33" s="177" t="s">
        <v>1215</v>
      </c>
      <c r="L33" s="177"/>
      <c r="M33" s="177"/>
    </row>
    <row r="34" spans="1:13">
      <c r="A34" s="177" t="s">
        <v>1041</v>
      </c>
      <c r="B34" s="177">
        <v>11</v>
      </c>
      <c r="C34" s="177">
        <v>20</v>
      </c>
      <c r="D34" s="177">
        <v>8.1999999999999993</v>
      </c>
      <c r="E34" s="177">
        <v>9</v>
      </c>
      <c r="F34" s="223">
        <v>1.46</v>
      </c>
      <c r="G34" s="177" t="s">
        <v>1214</v>
      </c>
      <c r="H34" s="177" t="s">
        <v>1215</v>
      </c>
      <c r="L34" s="177"/>
      <c r="M34" s="177"/>
    </row>
    <row r="35" spans="1:13">
      <c r="A35" s="177" t="s">
        <v>1041</v>
      </c>
      <c r="B35" s="177">
        <v>12</v>
      </c>
      <c r="C35" s="177">
        <v>20</v>
      </c>
      <c r="D35" s="177">
        <v>7.6</v>
      </c>
      <c r="E35" s="177">
        <v>9</v>
      </c>
      <c r="F35" s="223">
        <v>1.42</v>
      </c>
      <c r="G35" s="177" t="s">
        <v>1214</v>
      </c>
      <c r="H35" s="177" t="s">
        <v>1215</v>
      </c>
      <c r="L35" s="177"/>
      <c r="M35" s="177"/>
    </row>
    <row r="36" spans="1:13">
      <c r="A36" s="177" t="s">
        <v>1041</v>
      </c>
      <c r="B36" s="177">
        <v>13</v>
      </c>
      <c r="C36" s="177">
        <v>20</v>
      </c>
      <c r="D36" s="177">
        <v>8.6999999999999993</v>
      </c>
      <c r="E36" s="177">
        <v>10.7</v>
      </c>
      <c r="F36" s="223">
        <v>2.2400000000000002</v>
      </c>
      <c r="G36" s="177" t="s">
        <v>1214</v>
      </c>
      <c r="H36" s="177" t="s">
        <v>1215</v>
      </c>
      <c r="L36" s="177"/>
      <c r="M36" s="177"/>
    </row>
    <row r="37" spans="1:13">
      <c r="A37" s="177" t="s">
        <v>1041</v>
      </c>
      <c r="B37" s="177">
        <v>14</v>
      </c>
      <c r="C37" s="177">
        <v>20</v>
      </c>
      <c r="D37" s="177">
        <v>6.9</v>
      </c>
      <c r="E37" s="177">
        <v>7.6</v>
      </c>
      <c r="F37" s="223">
        <v>2.5499999999999998</v>
      </c>
      <c r="G37" s="177" t="s">
        <v>1214</v>
      </c>
      <c r="H37" s="177" t="s">
        <v>1215</v>
      </c>
      <c r="L37" s="177"/>
      <c r="M37" s="177"/>
    </row>
    <row r="38" spans="1:13">
      <c r="A38" s="177" t="s">
        <v>1041</v>
      </c>
      <c r="B38" s="177">
        <v>15</v>
      </c>
      <c r="C38" s="177">
        <v>20</v>
      </c>
      <c r="D38" s="177">
        <v>6.8</v>
      </c>
      <c r="E38" s="177">
        <v>7.8</v>
      </c>
      <c r="F38" s="223">
        <v>2.0699999999999998</v>
      </c>
      <c r="G38" s="177" t="s">
        <v>1214</v>
      </c>
      <c r="H38" s="177" t="s">
        <v>1215</v>
      </c>
    </row>
    <row r="39" spans="1:13">
      <c r="A39" s="177" t="s">
        <v>1041</v>
      </c>
      <c r="B39" s="177">
        <v>16</v>
      </c>
      <c r="C39" s="177">
        <v>20</v>
      </c>
      <c r="D39" s="177">
        <v>7</v>
      </c>
      <c r="E39" s="177">
        <v>7.8</v>
      </c>
      <c r="F39" s="223">
        <v>1.67</v>
      </c>
      <c r="G39" s="177" t="s">
        <v>1214</v>
      </c>
      <c r="H39" s="177" t="s">
        <v>1215</v>
      </c>
      <c r="K39" s="256"/>
      <c r="M39" s="177"/>
    </row>
    <row r="40" spans="1:13">
      <c r="A40" s="177" t="s">
        <v>1041</v>
      </c>
      <c r="B40" s="177">
        <v>17</v>
      </c>
      <c r="C40" s="177">
        <v>20</v>
      </c>
      <c r="D40" s="177">
        <v>7.8</v>
      </c>
      <c r="E40" s="177">
        <v>10.199999999999999</v>
      </c>
      <c r="F40" s="223">
        <v>5.01</v>
      </c>
      <c r="G40" s="177" t="s">
        <v>1214</v>
      </c>
      <c r="H40" s="177" t="s">
        <v>1215</v>
      </c>
      <c r="K40" s="256"/>
      <c r="M40" s="177"/>
    </row>
    <row r="41" spans="1:13">
      <c r="A41" s="177" t="s">
        <v>1041</v>
      </c>
      <c r="B41" s="177">
        <v>18</v>
      </c>
      <c r="C41" s="177">
        <v>20</v>
      </c>
      <c r="D41" s="177">
        <v>8.1</v>
      </c>
      <c r="E41" s="177">
        <v>7.4</v>
      </c>
      <c r="F41" s="223">
        <v>1.28</v>
      </c>
      <c r="G41" s="177" t="s">
        <v>1214</v>
      </c>
      <c r="H41" s="177" t="s">
        <v>1215</v>
      </c>
      <c r="K41" s="256"/>
      <c r="M41" s="177"/>
    </row>
    <row r="42" spans="1:13">
      <c r="A42" s="177" t="s">
        <v>1041</v>
      </c>
      <c r="B42" s="177">
        <v>19</v>
      </c>
      <c r="C42" s="177">
        <v>20</v>
      </c>
      <c r="D42" s="177">
        <v>8.3000000000000007</v>
      </c>
      <c r="E42" s="177">
        <v>10.199999999999999</v>
      </c>
      <c r="F42" s="223">
        <v>4.1500000000000004</v>
      </c>
      <c r="G42" s="177" t="s">
        <v>1214</v>
      </c>
      <c r="H42" s="177" t="s">
        <v>1215</v>
      </c>
    </row>
    <row r="43" spans="1:13">
      <c r="A43" s="177" t="s">
        <v>1041</v>
      </c>
      <c r="B43" s="177">
        <v>20</v>
      </c>
      <c r="C43" s="177">
        <v>20</v>
      </c>
      <c r="D43" s="177">
        <v>8.4</v>
      </c>
      <c r="E43" s="177">
        <v>10.5</v>
      </c>
      <c r="F43" s="223">
        <v>2.0499999999999998</v>
      </c>
      <c r="G43" s="177" t="s">
        <v>1214</v>
      </c>
      <c r="H43" s="177" t="s">
        <v>1215</v>
      </c>
    </row>
    <row r="44" spans="1:13">
      <c r="A44" s="177" t="s">
        <v>1041</v>
      </c>
      <c r="B44" s="177">
        <v>21</v>
      </c>
      <c r="C44" s="177">
        <v>20</v>
      </c>
      <c r="D44" s="177">
        <v>8</v>
      </c>
      <c r="E44" s="177">
        <v>11.6</v>
      </c>
      <c r="F44" s="223">
        <v>4.38</v>
      </c>
      <c r="G44" s="177" t="s">
        <v>1214</v>
      </c>
      <c r="H44" s="177" t="s">
        <v>1215</v>
      </c>
    </row>
    <row r="45" spans="1:13">
      <c r="A45" s="177" t="s">
        <v>1041</v>
      </c>
      <c r="B45" s="177">
        <v>22</v>
      </c>
      <c r="C45" s="177">
        <v>20</v>
      </c>
      <c r="D45" s="177">
        <v>5.8</v>
      </c>
      <c r="E45" s="177">
        <v>6.4</v>
      </c>
      <c r="F45" s="223">
        <v>0.75</v>
      </c>
      <c r="G45" s="177" t="s">
        <v>1214</v>
      </c>
      <c r="H45" s="177" t="s">
        <v>1215</v>
      </c>
    </row>
    <row r="46" spans="1:13">
      <c r="A46" s="177" t="s">
        <v>1041</v>
      </c>
      <c r="B46" s="177">
        <v>23</v>
      </c>
      <c r="C46" s="177">
        <v>20</v>
      </c>
      <c r="D46" s="177">
        <v>7</v>
      </c>
      <c r="E46" s="177">
        <v>9.1</v>
      </c>
      <c r="F46" s="223">
        <v>2.54</v>
      </c>
      <c r="G46" s="177" t="s">
        <v>1214</v>
      </c>
      <c r="H46" s="177" t="s">
        <v>1215</v>
      </c>
    </row>
    <row r="47" spans="1:13">
      <c r="A47" s="177" t="s">
        <v>1041</v>
      </c>
      <c r="B47" s="177">
        <v>24</v>
      </c>
      <c r="C47" s="177">
        <v>20</v>
      </c>
      <c r="D47" s="177">
        <v>7.8</v>
      </c>
      <c r="E47" s="177">
        <v>11</v>
      </c>
      <c r="F47" s="223">
        <v>3.86</v>
      </c>
      <c r="G47" s="177" t="s">
        <v>1214</v>
      </c>
      <c r="H47" s="177" t="s">
        <v>1215</v>
      </c>
    </row>
    <row r="48" spans="1:13">
      <c r="A48" s="177" t="s">
        <v>1041</v>
      </c>
      <c r="B48" s="177">
        <v>25</v>
      </c>
      <c r="C48" s="177">
        <v>20</v>
      </c>
      <c r="D48" s="177">
        <v>7.5</v>
      </c>
      <c r="E48" s="177">
        <v>12</v>
      </c>
      <c r="F48" s="223">
        <v>4.95</v>
      </c>
      <c r="G48" s="177" t="s">
        <v>1214</v>
      </c>
      <c r="H48" s="177" t="s">
        <v>1215</v>
      </c>
    </row>
    <row r="49" spans="1:8">
      <c r="A49" s="177" t="s">
        <v>1041</v>
      </c>
      <c r="B49" s="177">
        <v>26</v>
      </c>
      <c r="C49" s="177">
        <v>20</v>
      </c>
      <c r="D49" s="177">
        <v>6.1</v>
      </c>
      <c r="E49" s="177">
        <v>6.4</v>
      </c>
      <c r="F49" s="223">
        <v>1.18</v>
      </c>
      <c r="G49" s="177" t="s">
        <v>1214</v>
      </c>
      <c r="H49" s="177" t="s">
        <v>1215</v>
      </c>
    </row>
    <row r="50" spans="1:8">
      <c r="A50" s="177" t="s">
        <v>1041</v>
      </c>
      <c r="B50" s="177">
        <v>27</v>
      </c>
      <c r="C50" s="177">
        <v>20</v>
      </c>
      <c r="D50" s="177">
        <v>6.6</v>
      </c>
      <c r="E50" s="177">
        <v>8</v>
      </c>
      <c r="F50" s="223">
        <v>1.4</v>
      </c>
      <c r="G50" s="177" t="s">
        <v>1214</v>
      </c>
      <c r="H50" s="177" t="s">
        <v>1215</v>
      </c>
    </row>
    <row r="51" spans="1:8">
      <c r="A51" s="177" t="s">
        <v>1041</v>
      </c>
      <c r="B51" s="177">
        <v>28</v>
      </c>
      <c r="C51" s="177">
        <v>20</v>
      </c>
      <c r="D51" s="177">
        <v>7.7</v>
      </c>
      <c r="E51" s="177">
        <v>8.6999999999999993</v>
      </c>
      <c r="F51" s="223">
        <v>2.3199999999999998</v>
      </c>
      <c r="G51" s="177" t="s">
        <v>1214</v>
      </c>
      <c r="H51" s="177" t="s">
        <v>1215</v>
      </c>
    </row>
    <row r="52" spans="1:8">
      <c r="A52" s="177" t="s">
        <v>1041</v>
      </c>
      <c r="B52" s="177">
        <v>29</v>
      </c>
      <c r="C52" s="177">
        <v>20</v>
      </c>
      <c r="D52" s="177">
        <v>7.2</v>
      </c>
      <c r="E52" s="177">
        <v>11.4</v>
      </c>
      <c r="F52" s="223">
        <v>4.4800000000000004</v>
      </c>
      <c r="G52" s="177" t="s">
        <v>1214</v>
      </c>
      <c r="H52" s="177" t="s">
        <v>1215</v>
      </c>
    </row>
    <row r="53" spans="1:8">
      <c r="A53" s="177" t="s">
        <v>1041</v>
      </c>
      <c r="B53" s="177">
        <v>30</v>
      </c>
      <c r="C53" s="177">
        <v>20</v>
      </c>
      <c r="D53" s="177">
        <v>7.8</v>
      </c>
      <c r="E53" s="177">
        <v>6.8</v>
      </c>
      <c r="F53" s="223">
        <v>2.1</v>
      </c>
      <c r="G53" s="177" t="s">
        <v>1214</v>
      </c>
      <c r="H53" s="177" t="s">
        <v>1215</v>
      </c>
    </row>
    <row r="54" spans="1:8">
      <c r="A54" s="177" t="s">
        <v>1041</v>
      </c>
      <c r="B54" s="177">
        <v>31</v>
      </c>
      <c r="C54" s="177">
        <v>20</v>
      </c>
      <c r="D54" s="177">
        <v>7.6</v>
      </c>
      <c r="E54" s="177">
        <v>7.7</v>
      </c>
      <c r="F54" s="223">
        <v>1.49</v>
      </c>
      <c r="G54" s="177" t="s">
        <v>1214</v>
      </c>
      <c r="H54" s="177" t="s">
        <v>1215</v>
      </c>
    </row>
    <row r="55" spans="1:8">
      <c r="A55" s="177" t="s">
        <v>1041</v>
      </c>
      <c r="B55" s="177">
        <v>32</v>
      </c>
      <c r="C55" s="177">
        <v>20</v>
      </c>
      <c r="D55" s="177">
        <v>8.3000000000000007</v>
      </c>
      <c r="E55" s="177">
        <v>9.6</v>
      </c>
      <c r="F55" s="223">
        <v>3.37</v>
      </c>
      <c r="G55" s="177" t="s">
        <v>1214</v>
      </c>
      <c r="H55" s="177" t="s">
        <v>1215</v>
      </c>
    </row>
    <row r="56" spans="1:8">
      <c r="A56" s="177" t="s">
        <v>1041</v>
      </c>
      <c r="B56" s="177">
        <v>33</v>
      </c>
      <c r="C56" s="177">
        <v>20</v>
      </c>
      <c r="D56" s="177">
        <v>8.6</v>
      </c>
      <c r="E56" s="177">
        <v>12.2</v>
      </c>
      <c r="F56" s="223">
        <v>3.48</v>
      </c>
      <c r="G56" s="177" t="s">
        <v>1214</v>
      </c>
      <c r="H56" s="177" t="s">
        <v>1215</v>
      </c>
    </row>
    <row r="57" spans="1:8">
      <c r="A57" s="177" t="s">
        <v>1041</v>
      </c>
      <c r="B57" s="177">
        <v>34</v>
      </c>
      <c r="C57" s="177">
        <v>20</v>
      </c>
      <c r="D57" s="177">
        <v>8</v>
      </c>
      <c r="E57" s="177">
        <v>5.2</v>
      </c>
      <c r="F57" s="223">
        <v>0.56000000000000005</v>
      </c>
      <c r="G57" s="177" t="s">
        <v>1214</v>
      </c>
      <c r="H57" s="177" t="s">
        <v>1215</v>
      </c>
    </row>
    <row r="58" spans="1:8">
      <c r="A58" s="177" t="s">
        <v>1041</v>
      </c>
      <c r="B58" s="177">
        <v>35</v>
      </c>
      <c r="C58" s="177">
        <v>20</v>
      </c>
      <c r="D58" s="177">
        <v>8.5</v>
      </c>
      <c r="E58" s="177">
        <v>7.4</v>
      </c>
      <c r="F58" s="223">
        <v>1.1000000000000001</v>
      </c>
      <c r="G58" s="177" t="s">
        <v>1214</v>
      </c>
      <c r="H58" s="177" t="s">
        <v>1215</v>
      </c>
    </row>
    <row r="59" spans="1:8">
      <c r="A59" s="177" t="s">
        <v>1041</v>
      </c>
      <c r="B59" s="177">
        <v>36</v>
      </c>
      <c r="C59" s="177">
        <v>20</v>
      </c>
      <c r="D59" s="177">
        <v>8.6</v>
      </c>
      <c r="E59" s="177">
        <v>8.1999999999999993</v>
      </c>
      <c r="F59" s="223">
        <v>1.74</v>
      </c>
      <c r="G59" s="177" t="s">
        <v>1214</v>
      </c>
      <c r="H59" s="177" t="s">
        <v>1215</v>
      </c>
    </row>
    <row r="60" spans="1:8">
      <c r="A60" s="177" t="s">
        <v>1041</v>
      </c>
      <c r="B60" s="177">
        <v>37</v>
      </c>
      <c r="C60" s="177">
        <v>20</v>
      </c>
      <c r="D60" s="177">
        <v>9.4</v>
      </c>
      <c r="E60" s="177">
        <v>10.1</v>
      </c>
      <c r="F60" s="223">
        <v>2.61</v>
      </c>
      <c r="G60" s="177" t="s">
        <v>1214</v>
      </c>
      <c r="H60" s="177" t="s">
        <v>1215</v>
      </c>
    </row>
    <row r="61" spans="1:8">
      <c r="A61" s="177" t="s">
        <v>1041</v>
      </c>
      <c r="B61" s="177">
        <v>38</v>
      </c>
      <c r="C61" s="177">
        <v>20</v>
      </c>
      <c r="D61" s="177">
        <v>9.3000000000000007</v>
      </c>
      <c r="E61" s="177">
        <v>11.5</v>
      </c>
      <c r="F61" s="223">
        <v>2.98</v>
      </c>
      <c r="G61" s="177" t="s">
        <v>1214</v>
      </c>
      <c r="H61" s="177" t="s">
        <v>1215</v>
      </c>
    </row>
    <row r="62" spans="1:8">
      <c r="A62" s="177" t="s">
        <v>1041</v>
      </c>
      <c r="B62" s="177">
        <v>39</v>
      </c>
      <c r="C62" s="177">
        <v>20</v>
      </c>
      <c r="D62" s="177">
        <v>4.5</v>
      </c>
      <c r="E62" s="177">
        <v>4.5999999999999996</v>
      </c>
      <c r="F62" s="223">
        <v>0.38</v>
      </c>
      <c r="G62" s="177" t="s">
        <v>1214</v>
      </c>
      <c r="H62" s="177" t="s">
        <v>1215</v>
      </c>
    </row>
    <row r="63" spans="1:8">
      <c r="A63" s="177" t="s">
        <v>1041</v>
      </c>
      <c r="B63" s="177">
        <v>40</v>
      </c>
      <c r="C63" s="177">
        <v>20</v>
      </c>
      <c r="D63" s="177">
        <v>5.4</v>
      </c>
      <c r="E63" s="177">
        <v>5.5</v>
      </c>
      <c r="F63" s="223">
        <v>0.59</v>
      </c>
      <c r="G63" s="177" t="s">
        <v>1214</v>
      </c>
      <c r="H63" s="177" t="s">
        <v>1215</v>
      </c>
    </row>
    <row r="64" spans="1:8">
      <c r="A64" s="177" t="s">
        <v>1041</v>
      </c>
      <c r="B64" s="177">
        <v>41</v>
      </c>
      <c r="C64" s="177">
        <v>20</v>
      </c>
      <c r="D64" s="177">
        <v>6.3</v>
      </c>
      <c r="E64" s="177">
        <v>7.2</v>
      </c>
      <c r="F64" s="223">
        <v>1.1599999999999999</v>
      </c>
      <c r="G64" s="177" t="s">
        <v>1214</v>
      </c>
      <c r="H64" s="177" t="s">
        <v>1215</v>
      </c>
    </row>
    <row r="65" spans="1:8">
      <c r="A65" s="177" t="s">
        <v>1041</v>
      </c>
      <c r="B65" s="177">
        <v>42</v>
      </c>
      <c r="C65" s="177">
        <v>20</v>
      </c>
      <c r="D65" s="177">
        <v>6.2</v>
      </c>
      <c r="E65" s="177">
        <v>8.1999999999999993</v>
      </c>
      <c r="F65" s="223">
        <v>1.47</v>
      </c>
      <c r="G65" s="177" t="s">
        <v>1214</v>
      </c>
      <c r="H65" s="177" t="s">
        <v>1215</v>
      </c>
    </row>
    <row r="66" spans="1:8">
      <c r="A66" s="177" t="s">
        <v>1041</v>
      </c>
      <c r="B66" s="177">
        <v>43</v>
      </c>
      <c r="C66" s="177">
        <v>20</v>
      </c>
      <c r="D66" s="177">
        <v>7.2</v>
      </c>
      <c r="E66" s="177">
        <v>9.8000000000000007</v>
      </c>
      <c r="F66" s="223">
        <v>3.42</v>
      </c>
      <c r="G66" s="177" t="s">
        <v>1214</v>
      </c>
      <c r="H66" s="177" t="s">
        <v>1215</v>
      </c>
    </row>
    <row r="67" spans="1:8">
      <c r="A67" s="177" t="s">
        <v>1041</v>
      </c>
      <c r="B67" s="177">
        <v>44</v>
      </c>
      <c r="C67" s="177">
        <v>20</v>
      </c>
      <c r="D67" s="177">
        <v>5.9</v>
      </c>
      <c r="E67" s="177">
        <v>7.3</v>
      </c>
      <c r="F67" s="223">
        <v>0.99</v>
      </c>
      <c r="G67" s="177" t="s">
        <v>1214</v>
      </c>
      <c r="H67" s="177" t="s">
        <v>1215</v>
      </c>
    </row>
    <row r="68" spans="1:8">
      <c r="A68" s="177" t="s">
        <v>1041</v>
      </c>
      <c r="B68" s="177">
        <v>45</v>
      </c>
      <c r="C68" s="177">
        <v>20</v>
      </c>
      <c r="D68" s="177">
        <v>7.6</v>
      </c>
      <c r="E68" s="177">
        <v>9.1</v>
      </c>
      <c r="F68" s="223">
        <v>1.8</v>
      </c>
      <c r="G68" s="177" t="s">
        <v>1214</v>
      </c>
      <c r="H68" s="177" t="s">
        <v>1215</v>
      </c>
    </row>
    <row r="69" spans="1:8">
      <c r="A69" s="177" t="s">
        <v>1041</v>
      </c>
      <c r="B69" s="177">
        <v>46</v>
      </c>
      <c r="C69" s="177">
        <v>20</v>
      </c>
      <c r="D69" s="177">
        <v>7</v>
      </c>
      <c r="E69" s="177">
        <v>9.8000000000000007</v>
      </c>
      <c r="F69" s="223">
        <v>2.1</v>
      </c>
      <c r="G69" s="177" t="s">
        <v>1214</v>
      </c>
      <c r="H69" s="177" t="s">
        <v>1215</v>
      </c>
    </row>
    <row r="70" spans="1:8">
      <c r="A70" s="177" t="s">
        <v>1041</v>
      </c>
      <c r="B70" s="177">
        <v>47</v>
      </c>
      <c r="C70" s="177">
        <v>20</v>
      </c>
      <c r="D70" s="177">
        <v>8.5</v>
      </c>
      <c r="E70" s="177">
        <v>14.6</v>
      </c>
      <c r="F70" s="223">
        <v>7.73</v>
      </c>
      <c r="G70" s="177" t="s">
        <v>1214</v>
      </c>
      <c r="H70" s="177" t="s">
        <v>1215</v>
      </c>
    </row>
    <row r="71" spans="1:8">
      <c r="A71" s="177" t="s">
        <v>1041</v>
      </c>
      <c r="B71" s="177">
        <v>48</v>
      </c>
      <c r="C71" s="177">
        <v>20</v>
      </c>
      <c r="D71" s="177">
        <v>6.8</v>
      </c>
      <c r="E71" s="177">
        <v>8.6999999999999993</v>
      </c>
      <c r="F71" s="223">
        <v>2.13</v>
      </c>
      <c r="G71" s="177" t="s">
        <v>1214</v>
      </c>
      <c r="H71" s="177" t="s">
        <v>1215</v>
      </c>
    </row>
    <row r="72" spans="1:8">
      <c r="A72" s="177" t="s">
        <v>1041</v>
      </c>
      <c r="B72" s="177">
        <v>49</v>
      </c>
      <c r="C72" s="177">
        <v>20</v>
      </c>
      <c r="D72" s="177">
        <v>7.4</v>
      </c>
      <c r="E72" s="177">
        <v>8.8000000000000007</v>
      </c>
      <c r="F72" s="223">
        <v>2.34</v>
      </c>
      <c r="G72" s="177" t="s">
        <v>1214</v>
      </c>
      <c r="H72" s="177" t="s">
        <v>1215</v>
      </c>
    </row>
    <row r="73" spans="1:8">
      <c r="A73" s="177" t="s">
        <v>1041</v>
      </c>
      <c r="B73" s="177">
        <v>50</v>
      </c>
      <c r="C73" s="177">
        <v>20</v>
      </c>
      <c r="D73" s="177">
        <v>7.5</v>
      </c>
      <c r="E73" s="177">
        <v>9.4</v>
      </c>
      <c r="F73" s="223">
        <v>2.2000000000000002</v>
      </c>
      <c r="G73" s="177" t="s">
        <v>1214</v>
      </c>
      <c r="H73" s="177" t="s">
        <v>1215</v>
      </c>
    </row>
    <row r="74" spans="1:8">
      <c r="A74" s="177" t="s">
        <v>1041</v>
      </c>
      <c r="B74" s="177">
        <v>51</v>
      </c>
      <c r="C74" s="177">
        <v>20</v>
      </c>
      <c r="D74" s="177">
        <v>7.7</v>
      </c>
      <c r="E74" s="177">
        <v>10.6</v>
      </c>
      <c r="F74" s="223">
        <v>2.92</v>
      </c>
      <c r="G74" s="177" t="s">
        <v>1214</v>
      </c>
      <c r="H74" s="177" t="s">
        <v>1215</v>
      </c>
    </row>
    <row r="75" spans="1:8">
      <c r="A75" s="177" t="s">
        <v>1041</v>
      </c>
      <c r="B75" s="177">
        <v>52</v>
      </c>
      <c r="C75" s="177">
        <v>21</v>
      </c>
      <c r="D75" s="177">
        <v>5.8</v>
      </c>
      <c r="E75" s="177">
        <v>5.0999999999999996</v>
      </c>
      <c r="F75" s="223">
        <v>0.45</v>
      </c>
      <c r="G75" s="177" t="s">
        <v>1214</v>
      </c>
      <c r="H75" s="177" t="s">
        <v>1215</v>
      </c>
    </row>
    <row r="76" spans="1:8">
      <c r="A76" s="177" t="s">
        <v>1041</v>
      </c>
      <c r="B76" s="177">
        <v>53</v>
      </c>
      <c r="C76" s="177">
        <v>21</v>
      </c>
      <c r="D76" s="177">
        <v>7</v>
      </c>
      <c r="E76" s="177">
        <v>5.2</v>
      </c>
      <c r="F76" s="223">
        <v>0.4</v>
      </c>
      <c r="G76" s="177" t="s">
        <v>1214</v>
      </c>
      <c r="H76" s="177" t="s">
        <v>1215</v>
      </c>
    </row>
    <row r="77" spans="1:8">
      <c r="A77" s="177" t="s">
        <v>1041</v>
      </c>
      <c r="B77" s="177">
        <v>54</v>
      </c>
      <c r="C77" s="177">
        <v>21</v>
      </c>
      <c r="D77" s="177">
        <v>6.6</v>
      </c>
      <c r="E77" s="177">
        <v>5.2</v>
      </c>
      <c r="F77" s="223">
        <v>0.71</v>
      </c>
      <c r="G77" s="177" t="s">
        <v>1214</v>
      </c>
      <c r="H77" s="177" t="s">
        <v>1215</v>
      </c>
    </row>
    <row r="78" spans="1:8">
      <c r="A78" s="177" t="s">
        <v>1041</v>
      </c>
      <c r="B78" s="177">
        <v>55</v>
      </c>
      <c r="C78" s="177">
        <v>21</v>
      </c>
      <c r="D78" s="177">
        <v>7.2</v>
      </c>
      <c r="E78" s="177">
        <v>5.9</v>
      </c>
      <c r="F78" s="223">
        <v>0.93</v>
      </c>
      <c r="G78" s="177" t="s">
        <v>1214</v>
      </c>
      <c r="H78" s="177" t="s">
        <v>1215</v>
      </c>
    </row>
    <row r="79" spans="1:8">
      <c r="A79" s="177" t="s">
        <v>1041</v>
      </c>
      <c r="B79" s="177">
        <v>56</v>
      </c>
      <c r="C79" s="177">
        <v>21</v>
      </c>
      <c r="D79" s="177">
        <v>7</v>
      </c>
      <c r="E79" s="177">
        <v>6.8</v>
      </c>
      <c r="F79" s="223">
        <v>1.1200000000000001</v>
      </c>
      <c r="G79" s="177" t="s">
        <v>1214</v>
      </c>
      <c r="H79" s="177" t="s">
        <v>1215</v>
      </c>
    </row>
    <row r="80" spans="1:8">
      <c r="A80" s="177" t="s">
        <v>1041</v>
      </c>
      <c r="B80" s="177">
        <v>57</v>
      </c>
      <c r="C80" s="177">
        <v>21</v>
      </c>
      <c r="D80" s="177">
        <v>8.5</v>
      </c>
      <c r="E80" s="177">
        <v>8</v>
      </c>
      <c r="F80" s="223">
        <v>1.57</v>
      </c>
      <c r="G80" s="177" t="s">
        <v>1214</v>
      </c>
      <c r="H80" s="177" t="s">
        <v>1215</v>
      </c>
    </row>
    <row r="81" spans="1:8">
      <c r="A81" s="177" t="s">
        <v>1041</v>
      </c>
      <c r="B81" s="177">
        <v>58</v>
      </c>
      <c r="C81" s="177">
        <v>21</v>
      </c>
      <c r="D81" s="177">
        <v>7.9</v>
      </c>
      <c r="E81" s="177">
        <v>8.4</v>
      </c>
      <c r="F81" s="223">
        <v>1.34</v>
      </c>
      <c r="G81" s="177" t="s">
        <v>1214</v>
      </c>
      <c r="H81" s="177" t="s">
        <v>1215</v>
      </c>
    </row>
    <row r="82" spans="1:8">
      <c r="A82" s="177" t="s">
        <v>1041</v>
      </c>
      <c r="B82" s="177">
        <v>59</v>
      </c>
      <c r="C82" s="177">
        <v>21</v>
      </c>
      <c r="D82" s="177">
        <v>7.8</v>
      </c>
      <c r="E82" s="177">
        <v>6.3</v>
      </c>
      <c r="F82" s="223">
        <v>1.02</v>
      </c>
      <c r="G82" s="177" t="s">
        <v>1214</v>
      </c>
      <c r="H82" s="177" t="s">
        <v>1215</v>
      </c>
    </row>
    <row r="83" spans="1:8">
      <c r="A83" s="177" t="s">
        <v>1041</v>
      </c>
      <c r="B83" s="177">
        <v>60</v>
      </c>
      <c r="C83" s="177">
        <v>21</v>
      </c>
      <c r="D83" s="177">
        <v>8.4</v>
      </c>
      <c r="E83" s="177">
        <v>7.5</v>
      </c>
      <c r="F83" s="223">
        <v>1.54</v>
      </c>
      <c r="G83" s="177" t="s">
        <v>1214</v>
      </c>
      <c r="H83" s="177" t="s">
        <v>1215</v>
      </c>
    </row>
    <row r="84" spans="1:8">
      <c r="A84" s="177" t="s">
        <v>1041</v>
      </c>
      <c r="B84" s="177">
        <v>61</v>
      </c>
      <c r="C84" s="177">
        <v>21</v>
      </c>
      <c r="D84" s="177">
        <v>8.6</v>
      </c>
      <c r="E84" s="177">
        <v>8</v>
      </c>
      <c r="F84" s="223">
        <v>1.61</v>
      </c>
      <c r="G84" s="177" t="s">
        <v>1214</v>
      </c>
      <c r="H84" s="177" t="s">
        <v>1215</v>
      </c>
    </row>
    <row r="85" spans="1:8">
      <c r="A85" s="177" t="s">
        <v>1041</v>
      </c>
      <c r="B85" s="177">
        <v>62</v>
      </c>
      <c r="C85" s="177">
        <v>21</v>
      </c>
      <c r="D85" s="177">
        <v>8.6</v>
      </c>
      <c r="E85" s="177">
        <v>9.4</v>
      </c>
      <c r="F85" s="223">
        <v>2.4300000000000002</v>
      </c>
      <c r="G85" s="177" t="s">
        <v>1214</v>
      </c>
      <c r="H85" s="177" t="s">
        <v>1215</v>
      </c>
    </row>
    <row r="86" spans="1:8">
      <c r="A86" s="177" t="s">
        <v>1041</v>
      </c>
      <c r="B86" s="177">
        <v>63</v>
      </c>
      <c r="C86" s="177">
        <v>21</v>
      </c>
      <c r="D86" s="177">
        <v>8.8000000000000007</v>
      </c>
      <c r="E86" s="177">
        <v>9.6</v>
      </c>
      <c r="F86" s="223">
        <v>2.57</v>
      </c>
      <c r="G86" s="177" t="s">
        <v>1214</v>
      </c>
      <c r="H86" s="177" t="s">
        <v>1215</v>
      </c>
    </row>
    <row r="87" spans="1:8">
      <c r="A87" s="177" t="s">
        <v>1041</v>
      </c>
      <c r="B87" s="177">
        <v>64</v>
      </c>
      <c r="C87" s="177">
        <v>21</v>
      </c>
      <c r="D87" s="177">
        <v>9.4</v>
      </c>
      <c r="E87" s="177">
        <v>11.2</v>
      </c>
      <c r="F87" s="223">
        <v>4.1100000000000003</v>
      </c>
      <c r="G87" s="177" t="s">
        <v>1214</v>
      </c>
      <c r="H87" s="177" t="s">
        <v>1215</v>
      </c>
    </row>
    <row r="88" spans="1:8">
      <c r="A88" s="177" t="s">
        <v>1041</v>
      </c>
      <c r="B88" s="177">
        <v>65</v>
      </c>
      <c r="C88" s="177">
        <v>21</v>
      </c>
      <c r="D88" s="177">
        <v>9.1999999999999993</v>
      </c>
      <c r="E88" s="177">
        <v>12.2</v>
      </c>
      <c r="F88" s="223">
        <v>4.82</v>
      </c>
      <c r="G88" s="177" t="s">
        <v>1214</v>
      </c>
      <c r="H88" s="177" t="s">
        <v>1215</v>
      </c>
    </row>
    <row r="89" spans="1:8">
      <c r="A89" s="177" t="s">
        <v>1041</v>
      </c>
      <c r="B89" s="177">
        <v>66</v>
      </c>
      <c r="C89" s="177">
        <v>21</v>
      </c>
      <c r="D89" s="177">
        <v>9</v>
      </c>
      <c r="E89" s="177">
        <v>13.3</v>
      </c>
      <c r="F89" s="223">
        <v>6.52</v>
      </c>
      <c r="G89" s="177" t="s">
        <v>1214</v>
      </c>
      <c r="H89" s="177" t="s">
        <v>1215</v>
      </c>
    </row>
    <row r="90" spans="1:8">
      <c r="A90" s="177" t="s">
        <v>1041</v>
      </c>
      <c r="B90" s="177">
        <v>84</v>
      </c>
      <c r="C90" s="177">
        <v>22</v>
      </c>
      <c r="D90" s="177">
        <v>9.8000000000000007</v>
      </c>
      <c r="E90" s="177">
        <v>10.8</v>
      </c>
      <c r="F90" s="223">
        <v>1.94</v>
      </c>
      <c r="G90" s="177" t="s">
        <v>1214</v>
      </c>
      <c r="H90" s="177" t="s">
        <v>1215</v>
      </c>
    </row>
    <row r="91" spans="1:8">
      <c r="A91" s="260" t="s">
        <v>1041</v>
      </c>
      <c r="B91" s="260"/>
      <c r="C91" s="264">
        <v>23</v>
      </c>
      <c r="D91" s="177">
        <v>8.1999999999999993</v>
      </c>
      <c r="F91" s="223">
        <v>1.401098901098901</v>
      </c>
      <c r="G91" s="177" t="s">
        <v>1190</v>
      </c>
      <c r="H91" s="177" t="s">
        <v>1189</v>
      </c>
    </row>
    <row r="92" spans="1:8">
      <c r="A92" s="177" t="s">
        <v>1041</v>
      </c>
      <c r="C92" s="177">
        <v>23</v>
      </c>
      <c r="D92" s="177">
        <v>14.9</v>
      </c>
      <c r="E92" s="177">
        <v>15.4</v>
      </c>
      <c r="F92" s="223">
        <v>4.4000000000000004</v>
      </c>
      <c r="G92" s="177" t="s">
        <v>1213</v>
      </c>
    </row>
    <row r="93" spans="1:8">
      <c r="A93" s="177" t="s">
        <v>1041</v>
      </c>
      <c r="B93" s="177">
        <v>67</v>
      </c>
      <c r="C93" s="177">
        <v>24</v>
      </c>
      <c r="D93" s="177">
        <v>6.4</v>
      </c>
      <c r="E93" s="177">
        <v>4.8</v>
      </c>
      <c r="F93" s="223">
        <v>0.33</v>
      </c>
      <c r="G93" s="177" t="s">
        <v>1214</v>
      </c>
      <c r="H93" s="177" t="s">
        <v>1215</v>
      </c>
    </row>
    <row r="94" spans="1:8">
      <c r="A94" s="177" t="s">
        <v>1041</v>
      </c>
      <c r="B94" s="177">
        <v>68</v>
      </c>
      <c r="C94" s="177">
        <v>24</v>
      </c>
      <c r="D94" s="177">
        <v>9</v>
      </c>
      <c r="E94" s="177">
        <v>9.6</v>
      </c>
      <c r="F94" s="223">
        <v>1.99</v>
      </c>
      <c r="G94" s="177" t="s">
        <v>1214</v>
      </c>
      <c r="H94" s="177" t="s">
        <v>1215</v>
      </c>
    </row>
    <row r="95" spans="1:8">
      <c r="A95" s="177" t="s">
        <v>1041</v>
      </c>
      <c r="B95" s="177">
        <v>69</v>
      </c>
      <c r="C95" s="177">
        <v>24</v>
      </c>
      <c r="D95" s="177">
        <v>8.6</v>
      </c>
      <c r="E95" s="177">
        <v>11.2</v>
      </c>
      <c r="F95" s="223">
        <v>1.69</v>
      </c>
      <c r="G95" s="177" t="s">
        <v>1214</v>
      </c>
      <c r="H95" s="177" t="s">
        <v>1215</v>
      </c>
    </row>
    <row r="96" spans="1:8">
      <c r="A96" s="177" t="s">
        <v>1041</v>
      </c>
      <c r="B96" s="177">
        <v>70</v>
      </c>
      <c r="C96" s="177">
        <v>24</v>
      </c>
      <c r="D96" s="177">
        <v>9.4</v>
      </c>
      <c r="E96" s="177">
        <v>6.2</v>
      </c>
      <c r="F96" s="223">
        <v>0.42</v>
      </c>
      <c r="G96" s="177" t="s">
        <v>1214</v>
      </c>
      <c r="H96" s="177" t="s">
        <v>1215</v>
      </c>
    </row>
    <row r="97" spans="1:8">
      <c r="A97" s="177" t="s">
        <v>1041</v>
      </c>
      <c r="B97" s="177">
        <v>71</v>
      </c>
      <c r="C97" s="177">
        <v>24</v>
      </c>
      <c r="D97" s="177">
        <v>11.6</v>
      </c>
      <c r="E97" s="177">
        <v>11</v>
      </c>
      <c r="F97" s="223">
        <v>1.91</v>
      </c>
      <c r="G97" s="177" t="s">
        <v>1214</v>
      </c>
      <c r="H97" s="177" t="s">
        <v>1215</v>
      </c>
    </row>
    <row r="98" spans="1:8">
      <c r="A98" s="177" t="s">
        <v>1041</v>
      </c>
      <c r="B98" s="177">
        <v>72</v>
      </c>
      <c r="C98" s="177">
        <v>24</v>
      </c>
      <c r="D98" s="177">
        <v>11.6</v>
      </c>
      <c r="E98" s="177">
        <v>11.9</v>
      </c>
      <c r="F98" s="223">
        <v>1.94</v>
      </c>
      <c r="G98" s="177" t="s">
        <v>1214</v>
      </c>
      <c r="H98" s="177" t="s">
        <v>1215</v>
      </c>
    </row>
    <row r="99" spans="1:8">
      <c r="A99" s="177" t="s">
        <v>1041</v>
      </c>
      <c r="B99" s="177">
        <v>73</v>
      </c>
      <c r="C99" s="177">
        <v>24</v>
      </c>
      <c r="D99" s="177">
        <v>11</v>
      </c>
      <c r="E99" s="177">
        <v>8.6</v>
      </c>
      <c r="F99" s="223">
        <v>0.47</v>
      </c>
      <c r="G99" s="177" t="s">
        <v>1214</v>
      </c>
      <c r="H99" s="177" t="s">
        <v>1215</v>
      </c>
    </row>
    <row r="100" spans="1:8">
      <c r="A100" s="177" t="s">
        <v>1041</v>
      </c>
      <c r="B100" s="177">
        <v>74</v>
      </c>
      <c r="C100" s="177">
        <v>24</v>
      </c>
      <c r="D100" s="177">
        <v>12</v>
      </c>
      <c r="E100" s="177">
        <v>10.8</v>
      </c>
      <c r="F100" s="223">
        <v>1.1100000000000001</v>
      </c>
      <c r="G100" s="177" t="s">
        <v>1214</v>
      </c>
      <c r="H100" s="177" t="s">
        <v>1215</v>
      </c>
    </row>
    <row r="101" spans="1:8">
      <c r="A101" s="177" t="s">
        <v>1041</v>
      </c>
      <c r="B101" s="177">
        <v>75</v>
      </c>
      <c r="C101" s="177">
        <v>24</v>
      </c>
      <c r="D101" s="177">
        <v>12.6</v>
      </c>
      <c r="E101" s="177">
        <v>14.6</v>
      </c>
      <c r="F101" s="223">
        <v>2.34</v>
      </c>
      <c r="G101" s="177" t="s">
        <v>1214</v>
      </c>
      <c r="H101" s="177" t="s">
        <v>1215</v>
      </c>
    </row>
    <row r="102" spans="1:8">
      <c r="A102" s="177" t="s">
        <v>1041</v>
      </c>
      <c r="B102" s="177">
        <v>82</v>
      </c>
      <c r="C102" s="177">
        <v>24</v>
      </c>
      <c r="D102" s="177">
        <v>8</v>
      </c>
      <c r="E102" s="177">
        <v>6.6</v>
      </c>
      <c r="F102" s="223">
        <v>0.21</v>
      </c>
      <c r="G102" s="177" t="s">
        <v>1214</v>
      </c>
      <c r="H102" s="177" t="s">
        <v>1215</v>
      </c>
    </row>
    <row r="103" spans="1:8">
      <c r="A103" s="177" t="s">
        <v>1041</v>
      </c>
      <c r="B103" s="177">
        <v>76</v>
      </c>
      <c r="C103" s="177">
        <v>25</v>
      </c>
      <c r="D103" s="177">
        <v>10.8</v>
      </c>
      <c r="E103" s="177">
        <v>11.3</v>
      </c>
      <c r="F103" s="223">
        <v>1.96</v>
      </c>
      <c r="G103" s="177" t="s">
        <v>1214</v>
      </c>
      <c r="H103" s="177" t="s">
        <v>1215</v>
      </c>
    </row>
    <row r="104" spans="1:8">
      <c r="A104" s="177" t="s">
        <v>1041</v>
      </c>
      <c r="B104" s="177">
        <v>77</v>
      </c>
      <c r="C104" s="177">
        <v>25</v>
      </c>
      <c r="D104" s="177">
        <v>9</v>
      </c>
      <c r="E104" s="177">
        <v>8.6</v>
      </c>
      <c r="F104" s="223">
        <v>1.45</v>
      </c>
      <c r="G104" s="177" t="s">
        <v>1214</v>
      </c>
      <c r="H104" s="177" t="s">
        <v>1215</v>
      </c>
    </row>
    <row r="105" spans="1:8">
      <c r="A105" s="177" t="s">
        <v>1041</v>
      </c>
      <c r="B105" s="177">
        <v>78</v>
      </c>
      <c r="C105" s="177">
        <v>25</v>
      </c>
      <c r="D105" s="177">
        <v>9.1</v>
      </c>
      <c r="E105" s="177">
        <v>7.2</v>
      </c>
      <c r="F105" s="223">
        <v>0.9</v>
      </c>
      <c r="G105" s="177" t="s">
        <v>1214</v>
      </c>
      <c r="H105" s="177" t="s">
        <v>1215</v>
      </c>
    </row>
    <row r="106" spans="1:8">
      <c r="A106" s="177" t="s">
        <v>1041</v>
      </c>
      <c r="B106" s="177">
        <v>79</v>
      </c>
      <c r="C106" s="177">
        <v>25</v>
      </c>
      <c r="D106" s="177">
        <v>9.6</v>
      </c>
      <c r="E106" s="177">
        <v>9</v>
      </c>
      <c r="F106" s="223">
        <v>1.82</v>
      </c>
      <c r="G106" s="177" t="s">
        <v>1214</v>
      </c>
      <c r="H106" s="177" t="s">
        <v>1215</v>
      </c>
    </row>
    <row r="107" spans="1:8">
      <c r="A107" s="177" t="s">
        <v>1041</v>
      </c>
      <c r="B107" s="177">
        <v>80</v>
      </c>
      <c r="C107" s="177">
        <v>25</v>
      </c>
      <c r="D107" s="177">
        <v>12.4</v>
      </c>
      <c r="E107" s="177">
        <v>10.1</v>
      </c>
      <c r="F107" s="223">
        <v>2.06</v>
      </c>
      <c r="G107" s="177" t="s">
        <v>1214</v>
      </c>
      <c r="H107" s="177" t="s">
        <v>1215</v>
      </c>
    </row>
    <row r="108" spans="1:8">
      <c r="A108" s="177" t="s">
        <v>1041</v>
      </c>
      <c r="B108" s="177">
        <v>81</v>
      </c>
      <c r="C108" s="177">
        <v>25</v>
      </c>
      <c r="D108" s="177">
        <v>12.6</v>
      </c>
      <c r="E108" s="177">
        <v>12.4</v>
      </c>
      <c r="F108" s="223">
        <v>3.02</v>
      </c>
      <c r="G108" s="177" t="s">
        <v>1214</v>
      </c>
      <c r="H108" s="177" t="s">
        <v>1215</v>
      </c>
    </row>
    <row r="109" spans="1:8">
      <c r="A109" s="177" t="s">
        <v>1041</v>
      </c>
      <c r="B109" s="177">
        <v>85</v>
      </c>
      <c r="C109" s="177">
        <v>25</v>
      </c>
      <c r="D109" s="177">
        <v>10.4</v>
      </c>
      <c r="E109" s="177">
        <v>12.2</v>
      </c>
      <c r="F109" s="223">
        <v>2.79</v>
      </c>
      <c r="G109" s="177" t="s">
        <v>1214</v>
      </c>
      <c r="H109" s="177" t="s">
        <v>1215</v>
      </c>
    </row>
    <row r="110" spans="1:8" ht="25.5">
      <c r="A110" s="262" t="s">
        <v>1057</v>
      </c>
      <c r="B110" s="262"/>
      <c r="C110" s="264">
        <v>26</v>
      </c>
      <c r="D110" s="177">
        <v>13.7</v>
      </c>
      <c r="F110" s="257">
        <v>2.9777392309916162</v>
      </c>
      <c r="G110" s="177" t="s">
        <v>1190</v>
      </c>
      <c r="H110" s="177" t="s">
        <v>1189</v>
      </c>
    </row>
    <row r="111" spans="1:8">
      <c r="A111" s="177" t="s">
        <v>1041</v>
      </c>
      <c r="B111" s="177">
        <v>83</v>
      </c>
      <c r="C111" s="177">
        <v>26</v>
      </c>
      <c r="D111" s="177">
        <v>9</v>
      </c>
      <c r="E111" s="177">
        <v>9.1999999999999993</v>
      </c>
      <c r="F111" s="223">
        <v>0.62</v>
      </c>
      <c r="G111" s="177" t="s">
        <v>1214</v>
      </c>
      <c r="H111" s="177" t="s">
        <v>1215</v>
      </c>
    </row>
    <row r="112" spans="1:8" ht="25.5">
      <c r="A112" s="251" t="s">
        <v>1053</v>
      </c>
      <c r="B112" s="251"/>
      <c r="C112" s="265">
        <v>27</v>
      </c>
      <c r="D112" s="177">
        <v>13.3</v>
      </c>
      <c r="F112" s="258">
        <v>1.5486725663716814</v>
      </c>
      <c r="G112" s="177" t="s">
        <v>1190</v>
      </c>
      <c r="H112" s="177" t="s">
        <v>1189</v>
      </c>
    </row>
    <row r="113" spans="1:8">
      <c r="A113" s="177" t="s">
        <v>1041</v>
      </c>
      <c r="B113" s="177">
        <v>86</v>
      </c>
      <c r="C113" s="177">
        <v>27</v>
      </c>
      <c r="D113" s="177">
        <v>10.199999999999999</v>
      </c>
      <c r="E113" s="177">
        <v>15.8</v>
      </c>
      <c r="F113" s="223">
        <v>4.4400000000000004</v>
      </c>
      <c r="G113" s="177" t="s">
        <v>1214</v>
      </c>
      <c r="H113" s="177" t="s">
        <v>1215</v>
      </c>
    </row>
    <row r="114" spans="1:8">
      <c r="A114" s="260" t="s">
        <v>1041</v>
      </c>
      <c r="B114" s="260"/>
      <c r="C114" s="264">
        <v>28</v>
      </c>
      <c r="D114" s="177">
        <v>6.4</v>
      </c>
      <c r="F114" s="257">
        <v>0.79010649261422194</v>
      </c>
      <c r="G114" s="177" t="s">
        <v>1190</v>
      </c>
      <c r="H114" s="177" t="s">
        <v>1189</v>
      </c>
    </row>
    <row r="115" spans="1:8" ht="25.5">
      <c r="A115" s="262" t="s">
        <v>1053</v>
      </c>
      <c r="B115" s="262"/>
      <c r="C115" s="264">
        <v>28</v>
      </c>
      <c r="D115" s="177">
        <v>13.4</v>
      </c>
      <c r="F115" s="257">
        <v>2.1276595744680851</v>
      </c>
      <c r="G115" s="177" t="s">
        <v>1190</v>
      </c>
      <c r="H115" s="177" t="s">
        <v>1189</v>
      </c>
    </row>
    <row r="116" spans="1:8">
      <c r="A116" s="260" t="s">
        <v>1041</v>
      </c>
      <c r="B116" s="260"/>
      <c r="C116" s="264">
        <v>28</v>
      </c>
      <c r="D116" s="177">
        <v>11.9</v>
      </c>
      <c r="F116" s="223">
        <v>2.2117647058823531</v>
      </c>
      <c r="G116" s="177" t="s">
        <v>1190</v>
      </c>
      <c r="H116" s="177" t="s">
        <v>1189</v>
      </c>
    </row>
    <row r="117" spans="1:8">
      <c r="A117" s="177" t="s">
        <v>1041</v>
      </c>
      <c r="B117" s="177">
        <v>87</v>
      </c>
      <c r="C117" s="177">
        <v>28</v>
      </c>
      <c r="D117" s="177">
        <v>8.4</v>
      </c>
      <c r="E117" s="177">
        <v>6</v>
      </c>
      <c r="F117" s="223">
        <v>0.21</v>
      </c>
      <c r="G117" s="177" t="s">
        <v>1214</v>
      </c>
      <c r="H117" s="177" t="s">
        <v>1215</v>
      </c>
    </row>
    <row r="118" spans="1:8">
      <c r="A118" s="177" t="s">
        <v>1041</v>
      </c>
      <c r="B118" s="177">
        <v>88</v>
      </c>
      <c r="C118" s="177">
        <v>28</v>
      </c>
      <c r="D118" s="177">
        <v>10.199999999999999</v>
      </c>
      <c r="E118" s="177">
        <v>9.8000000000000007</v>
      </c>
      <c r="F118" s="223">
        <v>0.75</v>
      </c>
      <c r="G118" s="177" t="s">
        <v>1214</v>
      </c>
      <c r="H118" s="177" t="s">
        <v>1215</v>
      </c>
    </row>
    <row r="119" spans="1:8">
      <c r="A119" s="177" t="s">
        <v>1041</v>
      </c>
      <c r="B119" s="177">
        <v>89</v>
      </c>
      <c r="C119" s="177">
        <v>28</v>
      </c>
      <c r="D119" s="177">
        <v>11.2</v>
      </c>
      <c r="E119" s="177">
        <v>10</v>
      </c>
      <c r="F119" s="223">
        <v>1.03</v>
      </c>
      <c r="G119" s="177" t="s">
        <v>1214</v>
      </c>
      <c r="H119" s="177" t="s">
        <v>1215</v>
      </c>
    </row>
    <row r="120" spans="1:8">
      <c r="A120" s="177" t="s">
        <v>1041</v>
      </c>
      <c r="B120" s="177">
        <v>90</v>
      </c>
      <c r="C120" s="177">
        <v>28</v>
      </c>
      <c r="D120" s="177">
        <v>11.8</v>
      </c>
      <c r="E120" s="177">
        <v>8.4</v>
      </c>
      <c r="F120" s="223">
        <v>0.56000000000000005</v>
      </c>
      <c r="G120" s="177" t="s">
        <v>1214</v>
      </c>
      <c r="H120" s="177" t="s">
        <v>1215</v>
      </c>
    </row>
    <row r="121" spans="1:8">
      <c r="A121" s="177" t="s">
        <v>1041</v>
      </c>
      <c r="B121" s="177">
        <v>91</v>
      </c>
      <c r="C121" s="177">
        <v>28</v>
      </c>
      <c r="D121" s="177">
        <v>13.6</v>
      </c>
      <c r="E121" s="177">
        <v>12.4</v>
      </c>
      <c r="F121" s="223">
        <v>1.52</v>
      </c>
      <c r="G121" s="177" t="s">
        <v>1214</v>
      </c>
      <c r="H121" s="177" t="s">
        <v>1215</v>
      </c>
    </row>
    <row r="122" spans="1:8">
      <c r="A122" s="177" t="s">
        <v>1041</v>
      </c>
      <c r="B122" s="177">
        <v>92</v>
      </c>
      <c r="C122" s="177">
        <v>28</v>
      </c>
      <c r="D122" s="177">
        <v>14.2</v>
      </c>
      <c r="E122" s="177">
        <v>13.8</v>
      </c>
      <c r="F122" s="223">
        <v>2.15</v>
      </c>
      <c r="G122" s="177" t="s">
        <v>1214</v>
      </c>
      <c r="H122" s="177" t="s">
        <v>1215</v>
      </c>
    </row>
    <row r="123" spans="1:8">
      <c r="A123" s="177" t="s">
        <v>1041</v>
      </c>
      <c r="B123" s="177">
        <v>93</v>
      </c>
      <c r="C123" s="177">
        <v>28</v>
      </c>
      <c r="D123" s="177">
        <v>13.4</v>
      </c>
      <c r="E123" s="177">
        <v>11.2</v>
      </c>
      <c r="F123" s="223">
        <v>0.64</v>
      </c>
      <c r="G123" s="177" t="s">
        <v>1214</v>
      </c>
      <c r="H123" s="177" t="s">
        <v>1215</v>
      </c>
    </row>
    <row r="124" spans="1:8">
      <c r="A124" s="177" t="s">
        <v>1041</v>
      </c>
      <c r="B124" s="177">
        <v>94</v>
      </c>
      <c r="C124" s="177">
        <v>28</v>
      </c>
      <c r="D124" s="177">
        <v>15</v>
      </c>
      <c r="E124" s="177">
        <v>12.6</v>
      </c>
      <c r="F124" s="223">
        <v>1.5</v>
      </c>
      <c r="G124" s="177" t="s">
        <v>1214</v>
      </c>
      <c r="H124" s="177" t="s">
        <v>1215</v>
      </c>
    </row>
    <row r="125" spans="1:8">
      <c r="A125" s="177" t="s">
        <v>1041</v>
      </c>
      <c r="B125" s="177">
        <v>95</v>
      </c>
      <c r="C125" s="177">
        <v>28</v>
      </c>
      <c r="D125" s="177">
        <v>14.6</v>
      </c>
      <c r="E125" s="177">
        <v>15.6</v>
      </c>
      <c r="F125" s="223">
        <v>2.58</v>
      </c>
      <c r="G125" s="177" t="s">
        <v>1214</v>
      </c>
      <c r="H125" s="177" t="s">
        <v>1215</v>
      </c>
    </row>
    <row r="126" spans="1:8" ht="25.5">
      <c r="A126" s="262" t="s">
        <v>1053</v>
      </c>
      <c r="B126" s="262"/>
      <c r="C126" s="264">
        <v>29</v>
      </c>
      <c r="D126" s="177">
        <v>14.8</v>
      </c>
      <c r="F126" s="257">
        <v>4.263275991024682</v>
      </c>
      <c r="G126" s="177" t="s">
        <v>1190</v>
      </c>
      <c r="H126" s="177" t="s">
        <v>1189</v>
      </c>
    </row>
    <row r="127" spans="1:8">
      <c r="A127" s="260" t="s">
        <v>1041</v>
      </c>
      <c r="B127" s="260"/>
      <c r="C127" s="264">
        <v>31</v>
      </c>
      <c r="D127" s="177">
        <v>12.6</v>
      </c>
      <c r="F127" s="223">
        <v>3.5021097046413501</v>
      </c>
      <c r="G127" s="177" t="s">
        <v>1190</v>
      </c>
      <c r="H127" s="177" t="s">
        <v>1189</v>
      </c>
    </row>
    <row r="128" spans="1:8">
      <c r="A128" s="177" t="s">
        <v>1041</v>
      </c>
      <c r="B128" s="177">
        <v>96</v>
      </c>
      <c r="C128" s="177">
        <v>32</v>
      </c>
      <c r="D128" s="177">
        <v>9</v>
      </c>
      <c r="E128" s="177">
        <v>9</v>
      </c>
      <c r="F128" s="223">
        <v>1.4</v>
      </c>
      <c r="G128" s="177" t="s">
        <v>1214</v>
      </c>
      <c r="H128" s="177" t="s">
        <v>1215</v>
      </c>
    </row>
    <row r="129" spans="1:8">
      <c r="A129" s="177" t="s">
        <v>1041</v>
      </c>
      <c r="B129" s="177">
        <v>97</v>
      </c>
      <c r="C129" s="177">
        <v>32</v>
      </c>
      <c r="D129" s="177">
        <v>10</v>
      </c>
      <c r="E129" s="177">
        <v>13</v>
      </c>
      <c r="F129" s="223">
        <v>3.2</v>
      </c>
      <c r="G129" s="177" t="s">
        <v>1214</v>
      </c>
      <c r="H129" s="177" t="s">
        <v>1215</v>
      </c>
    </row>
    <row r="130" spans="1:8">
      <c r="A130" s="177" t="s">
        <v>1041</v>
      </c>
      <c r="B130" s="177">
        <v>98</v>
      </c>
      <c r="C130" s="177">
        <v>32</v>
      </c>
      <c r="D130" s="177">
        <v>11</v>
      </c>
      <c r="E130" s="177">
        <v>15</v>
      </c>
      <c r="F130" s="223">
        <v>3.6</v>
      </c>
      <c r="G130" s="177" t="s">
        <v>1214</v>
      </c>
      <c r="H130" s="177" t="s">
        <v>1215</v>
      </c>
    </row>
    <row r="131" spans="1:8">
      <c r="A131" s="177" t="s">
        <v>1041</v>
      </c>
      <c r="B131" s="177">
        <v>99</v>
      </c>
      <c r="C131" s="177">
        <v>32</v>
      </c>
      <c r="D131" s="177">
        <v>10</v>
      </c>
      <c r="E131" s="177">
        <v>18</v>
      </c>
      <c r="F131" s="223">
        <v>6.6</v>
      </c>
      <c r="G131" s="177" t="s">
        <v>1214</v>
      </c>
      <c r="H131" s="177" t="s">
        <v>1215</v>
      </c>
    </row>
    <row r="132" spans="1:8">
      <c r="A132" s="177" t="s">
        <v>1041</v>
      </c>
      <c r="B132" s="177">
        <v>100</v>
      </c>
      <c r="C132" s="177">
        <v>32</v>
      </c>
      <c r="D132" s="177">
        <v>11</v>
      </c>
      <c r="E132" s="177">
        <v>12</v>
      </c>
      <c r="F132" s="223">
        <v>1.7</v>
      </c>
      <c r="G132" s="177" t="s">
        <v>1214</v>
      </c>
      <c r="H132" s="177" t="s">
        <v>1215</v>
      </c>
    </row>
    <row r="133" spans="1:8">
      <c r="A133" s="177" t="s">
        <v>1041</v>
      </c>
      <c r="B133" s="177">
        <v>101</v>
      </c>
      <c r="C133" s="177">
        <v>32</v>
      </c>
      <c r="D133" s="177">
        <v>13</v>
      </c>
      <c r="E133" s="177">
        <v>15</v>
      </c>
      <c r="F133" s="223">
        <v>2.7</v>
      </c>
      <c r="G133" s="177" t="s">
        <v>1214</v>
      </c>
      <c r="H133" s="177" t="s">
        <v>1215</v>
      </c>
    </row>
    <row r="134" spans="1:8">
      <c r="A134" s="177" t="s">
        <v>1041</v>
      </c>
      <c r="B134" s="177">
        <v>102</v>
      </c>
      <c r="C134" s="177">
        <v>32</v>
      </c>
      <c r="D134" s="177">
        <v>13</v>
      </c>
      <c r="E134" s="177">
        <v>18</v>
      </c>
      <c r="F134" s="223">
        <v>3.6</v>
      </c>
      <c r="G134" s="177" t="s">
        <v>1214</v>
      </c>
      <c r="H134" s="177" t="s">
        <v>1215</v>
      </c>
    </row>
    <row r="135" spans="1:8">
      <c r="A135" s="177" t="s">
        <v>1041</v>
      </c>
      <c r="B135" s="177">
        <v>103</v>
      </c>
      <c r="C135" s="177">
        <v>32</v>
      </c>
      <c r="D135" s="177">
        <v>13</v>
      </c>
      <c r="E135" s="177">
        <v>21</v>
      </c>
      <c r="F135" s="223">
        <v>6.6</v>
      </c>
      <c r="G135" s="177" t="s">
        <v>1214</v>
      </c>
      <c r="H135" s="177" t="s">
        <v>1215</v>
      </c>
    </row>
    <row r="136" spans="1:8">
      <c r="A136" s="177" t="s">
        <v>1041</v>
      </c>
      <c r="B136" s="177">
        <v>104</v>
      </c>
      <c r="C136" s="177">
        <v>32</v>
      </c>
      <c r="D136" s="177">
        <v>11</v>
      </c>
      <c r="E136" s="177">
        <v>14</v>
      </c>
      <c r="F136" s="223">
        <v>2.4</v>
      </c>
      <c r="G136" s="177" t="s">
        <v>1214</v>
      </c>
      <c r="H136" s="177" t="s">
        <v>1215</v>
      </c>
    </row>
    <row r="137" spans="1:8">
      <c r="A137" s="177" t="s">
        <v>1041</v>
      </c>
      <c r="B137" s="177">
        <v>105</v>
      </c>
      <c r="C137" s="177">
        <v>32</v>
      </c>
      <c r="D137" s="177">
        <v>13</v>
      </c>
      <c r="E137" s="177">
        <v>18</v>
      </c>
      <c r="F137" s="223">
        <v>6.6</v>
      </c>
      <c r="G137" s="177" t="s">
        <v>1214</v>
      </c>
      <c r="H137" s="177" t="s">
        <v>1215</v>
      </c>
    </row>
    <row r="138" spans="1:8">
      <c r="A138" s="177" t="s">
        <v>1041</v>
      </c>
      <c r="B138" s="177">
        <v>106</v>
      </c>
      <c r="C138" s="177">
        <v>32</v>
      </c>
      <c r="D138" s="177">
        <v>14</v>
      </c>
      <c r="E138" s="177">
        <v>21</v>
      </c>
      <c r="F138" s="223">
        <v>6.9</v>
      </c>
      <c r="G138" s="177" t="s">
        <v>1214</v>
      </c>
      <c r="H138" s="177" t="s">
        <v>1215</v>
      </c>
    </row>
    <row r="139" spans="1:8">
      <c r="A139" s="177" t="s">
        <v>1041</v>
      </c>
      <c r="B139" s="177">
        <v>107</v>
      </c>
      <c r="C139" s="177">
        <v>32</v>
      </c>
      <c r="D139" s="177">
        <v>13</v>
      </c>
      <c r="E139" s="177">
        <v>24</v>
      </c>
      <c r="F139" s="223">
        <v>9</v>
      </c>
      <c r="G139" s="177" t="s">
        <v>1214</v>
      </c>
      <c r="H139" s="177" t="s">
        <v>1215</v>
      </c>
    </row>
    <row r="140" spans="1:8">
      <c r="A140" s="177" t="s">
        <v>1041</v>
      </c>
      <c r="B140" s="177">
        <v>108</v>
      </c>
      <c r="C140" s="177">
        <v>32</v>
      </c>
      <c r="D140" s="177">
        <v>11</v>
      </c>
      <c r="E140" s="177">
        <v>10</v>
      </c>
      <c r="F140" s="223">
        <v>1.5</v>
      </c>
      <c r="G140" s="177" t="s">
        <v>1214</v>
      </c>
      <c r="H140" s="177" t="s">
        <v>1215</v>
      </c>
    </row>
    <row r="141" spans="1:8">
      <c r="A141" s="177" t="s">
        <v>1041</v>
      </c>
      <c r="B141" s="177">
        <v>109</v>
      </c>
      <c r="C141" s="177">
        <v>32</v>
      </c>
      <c r="D141" s="177">
        <v>12</v>
      </c>
      <c r="E141" s="177">
        <v>14</v>
      </c>
      <c r="F141" s="223">
        <v>2.8</v>
      </c>
      <c r="G141" s="177" t="s">
        <v>1214</v>
      </c>
      <c r="H141" s="177" t="s">
        <v>1215</v>
      </c>
    </row>
    <row r="142" spans="1:8">
      <c r="A142" s="177" t="s">
        <v>1041</v>
      </c>
      <c r="B142" s="177">
        <v>110</v>
      </c>
      <c r="C142" s="177">
        <v>32</v>
      </c>
      <c r="D142" s="177">
        <v>13</v>
      </c>
      <c r="E142" s="177">
        <v>17</v>
      </c>
      <c r="F142" s="223">
        <v>4.3</v>
      </c>
      <c r="G142" s="177" t="s">
        <v>1214</v>
      </c>
      <c r="H142" s="177" t="s">
        <v>1215</v>
      </c>
    </row>
    <row r="143" spans="1:8">
      <c r="A143" s="177" t="s">
        <v>1041</v>
      </c>
      <c r="B143" s="177">
        <v>111</v>
      </c>
      <c r="C143" s="177">
        <v>32</v>
      </c>
      <c r="D143" s="177">
        <v>13</v>
      </c>
      <c r="E143" s="177">
        <v>20</v>
      </c>
      <c r="F143" s="223">
        <v>6.9</v>
      </c>
      <c r="G143" s="177" t="s">
        <v>1214</v>
      </c>
      <c r="H143" s="177" t="s">
        <v>1215</v>
      </c>
    </row>
    <row r="144" spans="1:8">
      <c r="A144" s="177" t="s">
        <v>1041</v>
      </c>
      <c r="B144" s="177">
        <v>112</v>
      </c>
      <c r="C144" s="177">
        <v>32</v>
      </c>
      <c r="D144" s="177">
        <v>8</v>
      </c>
      <c r="E144" s="177">
        <v>9</v>
      </c>
      <c r="F144" s="223">
        <v>1</v>
      </c>
      <c r="G144" s="177" t="s">
        <v>1214</v>
      </c>
      <c r="H144" s="177" t="s">
        <v>1215</v>
      </c>
    </row>
    <row r="145" spans="1:8">
      <c r="A145" s="177" t="s">
        <v>1041</v>
      </c>
      <c r="B145" s="177">
        <v>113</v>
      </c>
      <c r="C145" s="177">
        <v>32</v>
      </c>
      <c r="D145" s="177">
        <v>10</v>
      </c>
      <c r="E145" s="177">
        <v>11</v>
      </c>
      <c r="F145" s="223">
        <v>1.6</v>
      </c>
      <c r="G145" s="177" t="s">
        <v>1214</v>
      </c>
      <c r="H145" s="177" t="s">
        <v>1215</v>
      </c>
    </row>
    <row r="146" spans="1:8">
      <c r="A146" s="177" t="s">
        <v>1041</v>
      </c>
      <c r="B146" s="177">
        <v>114</v>
      </c>
      <c r="C146" s="177">
        <v>32</v>
      </c>
      <c r="D146" s="177">
        <v>10</v>
      </c>
      <c r="E146" s="177">
        <v>13</v>
      </c>
      <c r="F146" s="223">
        <v>1.6</v>
      </c>
      <c r="G146" s="177" t="s">
        <v>1214</v>
      </c>
      <c r="H146" s="177" t="s">
        <v>1215</v>
      </c>
    </row>
    <row r="147" spans="1:8">
      <c r="A147" s="177" t="s">
        <v>1041</v>
      </c>
      <c r="B147" s="177">
        <v>115</v>
      </c>
      <c r="C147" s="177">
        <v>32</v>
      </c>
      <c r="D147" s="177">
        <v>11</v>
      </c>
      <c r="E147" s="177">
        <v>16</v>
      </c>
      <c r="F147" s="223">
        <v>3.6</v>
      </c>
      <c r="G147" s="177" t="s">
        <v>1214</v>
      </c>
      <c r="H147" s="177" t="s">
        <v>1215</v>
      </c>
    </row>
    <row r="148" spans="1:8">
      <c r="A148" s="177" t="s">
        <v>1041</v>
      </c>
      <c r="B148" s="177">
        <v>116</v>
      </c>
      <c r="C148" s="177">
        <v>32</v>
      </c>
      <c r="D148" s="177">
        <v>9</v>
      </c>
      <c r="E148" s="177">
        <v>8</v>
      </c>
      <c r="F148" s="223">
        <v>0.9</v>
      </c>
      <c r="G148" s="177" t="s">
        <v>1214</v>
      </c>
      <c r="H148" s="177" t="s">
        <v>1215</v>
      </c>
    </row>
    <row r="149" spans="1:8">
      <c r="A149" s="177" t="s">
        <v>1041</v>
      </c>
      <c r="B149" s="177">
        <v>117</v>
      </c>
      <c r="C149" s="177">
        <v>32</v>
      </c>
      <c r="D149" s="177">
        <v>9</v>
      </c>
      <c r="E149" s="177">
        <v>10</v>
      </c>
      <c r="F149" s="223">
        <v>1.6</v>
      </c>
      <c r="G149" s="177" t="s">
        <v>1214</v>
      </c>
      <c r="H149" s="177" t="s">
        <v>1215</v>
      </c>
    </row>
    <row r="150" spans="1:8">
      <c r="A150" s="177" t="s">
        <v>1041</v>
      </c>
      <c r="B150" s="177">
        <v>118</v>
      </c>
      <c r="C150" s="177">
        <v>32</v>
      </c>
      <c r="D150" s="177">
        <v>10</v>
      </c>
      <c r="E150" s="177">
        <v>13</v>
      </c>
      <c r="F150" s="223">
        <v>2.2000000000000002</v>
      </c>
      <c r="G150" s="177" t="s">
        <v>1214</v>
      </c>
      <c r="H150" s="177" t="s">
        <v>1215</v>
      </c>
    </row>
    <row r="151" spans="1:8">
      <c r="A151" s="177" t="s">
        <v>1041</v>
      </c>
      <c r="B151" s="177">
        <v>119</v>
      </c>
      <c r="C151" s="177">
        <v>32</v>
      </c>
      <c r="D151" s="177">
        <v>11</v>
      </c>
      <c r="E151" s="177">
        <v>16</v>
      </c>
      <c r="F151" s="223">
        <v>3.5</v>
      </c>
      <c r="G151" s="177" t="s">
        <v>1214</v>
      </c>
      <c r="H151" s="177" t="s">
        <v>1215</v>
      </c>
    </row>
    <row r="152" spans="1:8">
      <c r="A152" s="177" t="s">
        <v>1041</v>
      </c>
      <c r="B152" s="177">
        <v>120</v>
      </c>
      <c r="C152" s="177">
        <v>32</v>
      </c>
      <c r="D152" s="177">
        <v>11</v>
      </c>
      <c r="E152" s="177">
        <v>8</v>
      </c>
      <c r="F152" s="223">
        <v>0.6</v>
      </c>
      <c r="G152" s="177" t="s">
        <v>1214</v>
      </c>
      <c r="H152" s="177" t="s">
        <v>1215</v>
      </c>
    </row>
    <row r="153" spans="1:8">
      <c r="A153" s="177" t="s">
        <v>1041</v>
      </c>
      <c r="B153" s="177">
        <v>121</v>
      </c>
      <c r="C153" s="177">
        <v>32</v>
      </c>
      <c r="D153" s="177">
        <v>12</v>
      </c>
      <c r="E153" s="177">
        <v>10</v>
      </c>
      <c r="F153" s="223">
        <v>1.3</v>
      </c>
      <c r="G153" s="177" t="s">
        <v>1214</v>
      </c>
      <c r="H153" s="177" t="s">
        <v>1215</v>
      </c>
    </row>
    <row r="154" spans="1:8">
      <c r="A154" s="177" t="s">
        <v>1041</v>
      </c>
      <c r="B154" s="177">
        <v>122</v>
      </c>
      <c r="C154" s="177">
        <v>32</v>
      </c>
      <c r="D154" s="177">
        <v>13</v>
      </c>
      <c r="E154" s="177">
        <v>13</v>
      </c>
      <c r="F154" s="223">
        <v>2.1</v>
      </c>
      <c r="G154" s="177" t="s">
        <v>1214</v>
      </c>
      <c r="H154" s="177" t="s">
        <v>1215</v>
      </c>
    </row>
    <row r="155" spans="1:8">
      <c r="A155" s="177" t="s">
        <v>1041</v>
      </c>
      <c r="B155" s="177">
        <v>123</v>
      </c>
      <c r="C155" s="177">
        <v>32</v>
      </c>
      <c r="D155" s="177">
        <v>13</v>
      </c>
      <c r="E155" s="177">
        <v>15</v>
      </c>
      <c r="F155" s="223">
        <v>3.4</v>
      </c>
      <c r="G155" s="177" t="s">
        <v>1214</v>
      </c>
      <c r="H155" s="177" t="s">
        <v>1215</v>
      </c>
    </row>
    <row r="156" spans="1:8">
      <c r="A156" s="177" t="s">
        <v>1041</v>
      </c>
      <c r="B156" s="177">
        <v>134</v>
      </c>
      <c r="C156" s="177">
        <v>32</v>
      </c>
      <c r="D156" s="177">
        <v>15</v>
      </c>
      <c r="E156" s="177">
        <v>11</v>
      </c>
      <c r="F156" s="223">
        <v>1.3</v>
      </c>
      <c r="G156" s="177" t="s">
        <v>1214</v>
      </c>
      <c r="H156" s="177" t="s">
        <v>1215</v>
      </c>
    </row>
    <row r="157" spans="1:8">
      <c r="A157" s="177" t="s">
        <v>1041</v>
      </c>
      <c r="B157" s="177">
        <v>125</v>
      </c>
      <c r="C157" s="177">
        <v>32</v>
      </c>
      <c r="D157" s="177">
        <v>16</v>
      </c>
      <c r="E157" s="177">
        <v>14</v>
      </c>
      <c r="F157" s="223">
        <v>2.4</v>
      </c>
      <c r="G157" s="177" t="s">
        <v>1214</v>
      </c>
      <c r="H157" s="177" t="s">
        <v>1215</v>
      </c>
    </row>
    <row r="158" spans="1:8">
      <c r="A158" s="177" t="s">
        <v>1041</v>
      </c>
      <c r="B158" s="177">
        <v>126</v>
      </c>
      <c r="C158" s="177">
        <v>32</v>
      </c>
      <c r="D158" s="177">
        <v>17</v>
      </c>
      <c r="E158" s="177">
        <v>16</v>
      </c>
      <c r="F158" s="223">
        <v>3.4</v>
      </c>
      <c r="G158" s="177" t="s">
        <v>1214</v>
      </c>
      <c r="H158" s="177" t="s">
        <v>1215</v>
      </c>
    </row>
    <row r="159" spans="1:8">
      <c r="A159" s="177" t="s">
        <v>1041</v>
      </c>
      <c r="B159" s="177">
        <v>127</v>
      </c>
      <c r="C159" s="177">
        <v>32</v>
      </c>
      <c r="D159" s="177">
        <v>17</v>
      </c>
      <c r="E159" s="177">
        <v>19</v>
      </c>
      <c r="F159" s="223">
        <v>5.4</v>
      </c>
      <c r="G159" s="177" t="s">
        <v>1214</v>
      </c>
      <c r="H159" s="177" t="s">
        <v>1215</v>
      </c>
    </row>
    <row r="160" spans="1:8">
      <c r="A160" s="177" t="s">
        <v>1041</v>
      </c>
      <c r="B160" s="177">
        <v>128</v>
      </c>
      <c r="C160" s="177">
        <v>32</v>
      </c>
      <c r="D160" s="177">
        <v>15</v>
      </c>
      <c r="E160" s="177">
        <v>13</v>
      </c>
      <c r="F160" s="223">
        <v>1.4</v>
      </c>
      <c r="G160" s="177" t="s">
        <v>1214</v>
      </c>
      <c r="H160" s="177" t="s">
        <v>1215</v>
      </c>
    </row>
    <row r="161" spans="1:8">
      <c r="A161" s="177" t="s">
        <v>1041</v>
      </c>
      <c r="B161" s="177">
        <v>129</v>
      </c>
      <c r="C161" s="177">
        <v>32</v>
      </c>
      <c r="D161" s="177">
        <v>16</v>
      </c>
      <c r="E161" s="177">
        <v>15</v>
      </c>
      <c r="F161" s="223">
        <v>1.9</v>
      </c>
      <c r="G161" s="177" t="s">
        <v>1214</v>
      </c>
      <c r="H161" s="177" t="s">
        <v>1215</v>
      </c>
    </row>
    <row r="162" spans="1:8">
      <c r="A162" s="177" t="s">
        <v>1041</v>
      </c>
      <c r="B162" s="177">
        <v>130</v>
      </c>
      <c r="C162" s="177">
        <v>32</v>
      </c>
      <c r="D162" s="177">
        <v>18</v>
      </c>
      <c r="E162" s="177">
        <v>17</v>
      </c>
      <c r="F162" s="223">
        <v>4</v>
      </c>
      <c r="G162" s="177" t="s">
        <v>1214</v>
      </c>
      <c r="H162" s="177" t="s">
        <v>1215</v>
      </c>
    </row>
    <row r="163" spans="1:8">
      <c r="A163" s="177" t="s">
        <v>1041</v>
      </c>
      <c r="B163" s="177">
        <v>131</v>
      </c>
      <c r="C163" s="177">
        <v>32</v>
      </c>
      <c r="D163" s="177">
        <v>18</v>
      </c>
      <c r="E163" s="177">
        <v>21</v>
      </c>
      <c r="F163" s="223">
        <v>6.5</v>
      </c>
      <c r="G163" s="177" t="s">
        <v>1214</v>
      </c>
      <c r="H163" s="177" t="s">
        <v>1215</v>
      </c>
    </row>
    <row r="164" spans="1:8">
      <c r="A164" s="177" t="s">
        <v>1041</v>
      </c>
      <c r="B164" s="177">
        <v>132</v>
      </c>
      <c r="C164" s="177">
        <v>32</v>
      </c>
      <c r="D164" s="177">
        <v>15</v>
      </c>
      <c r="E164" s="177">
        <v>11</v>
      </c>
      <c r="F164" s="223">
        <v>1.3</v>
      </c>
      <c r="G164" s="177" t="s">
        <v>1214</v>
      </c>
      <c r="H164" s="177" t="s">
        <v>1215</v>
      </c>
    </row>
    <row r="165" spans="1:8">
      <c r="A165" s="177" t="s">
        <v>1041</v>
      </c>
      <c r="B165" s="177">
        <v>133</v>
      </c>
      <c r="C165" s="177">
        <v>32</v>
      </c>
      <c r="D165" s="177">
        <v>16</v>
      </c>
      <c r="E165" s="177">
        <v>14</v>
      </c>
      <c r="F165" s="223">
        <v>1.7</v>
      </c>
      <c r="G165" s="177" t="s">
        <v>1214</v>
      </c>
      <c r="H165" s="177" t="s">
        <v>1215</v>
      </c>
    </row>
    <row r="166" spans="1:8">
      <c r="A166" s="177" t="s">
        <v>1041</v>
      </c>
      <c r="B166" s="177">
        <v>134</v>
      </c>
      <c r="C166" s="177">
        <v>32</v>
      </c>
      <c r="D166" s="177">
        <v>16</v>
      </c>
      <c r="E166" s="177">
        <v>15</v>
      </c>
      <c r="F166" s="223">
        <v>3.8</v>
      </c>
      <c r="G166" s="177" t="s">
        <v>1214</v>
      </c>
      <c r="H166" s="177" t="s">
        <v>1215</v>
      </c>
    </row>
    <row r="167" spans="1:8">
      <c r="A167" s="177" t="s">
        <v>1041</v>
      </c>
      <c r="B167" s="177">
        <v>135</v>
      </c>
      <c r="C167" s="177">
        <v>32</v>
      </c>
      <c r="D167" s="177">
        <v>18</v>
      </c>
      <c r="E167" s="177">
        <v>19</v>
      </c>
      <c r="F167" s="223">
        <v>6.3</v>
      </c>
      <c r="G167" s="177" t="s">
        <v>1214</v>
      </c>
      <c r="H167" s="177" t="s">
        <v>1215</v>
      </c>
    </row>
    <row r="168" spans="1:8">
      <c r="A168" s="177" t="s">
        <v>1041</v>
      </c>
      <c r="B168" s="177">
        <v>136</v>
      </c>
      <c r="C168" s="177">
        <v>32</v>
      </c>
      <c r="D168" s="177">
        <v>11</v>
      </c>
      <c r="E168" s="177">
        <v>8</v>
      </c>
      <c r="F168" s="223">
        <v>0.5</v>
      </c>
      <c r="G168" s="177" t="s">
        <v>1214</v>
      </c>
      <c r="H168" s="177" t="s">
        <v>1215</v>
      </c>
    </row>
    <row r="169" spans="1:8">
      <c r="A169" s="177" t="s">
        <v>1041</v>
      </c>
      <c r="B169" s="177">
        <v>137</v>
      </c>
      <c r="C169" s="177">
        <v>32</v>
      </c>
      <c r="D169" s="177">
        <v>12</v>
      </c>
      <c r="E169" s="177">
        <v>10</v>
      </c>
      <c r="F169" s="223">
        <v>1.2</v>
      </c>
      <c r="G169" s="177" t="s">
        <v>1214</v>
      </c>
      <c r="H169" s="177" t="s">
        <v>1215</v>
      </c>
    </row>
    <row r="170" spans="1:8">
      <c r="A170" s="177" t="s">
        <v>1041</v>
      </c>
      <c r="B170" s="177">
        <v>138</v>
      </c>
      <c r="C170" s="177">
        <v>32</v>
      </c>
      <c r="D170" s="177">
        <v>13</v>
      </c>
      <c r="E170" s="177">
        <v>12</v>
      </c>
      <c r="F170" s="223">
        <v>1.7</v>
      </c>
      <c r="G170" s="177" t="s">
        <v>1214</v>
      </c>
      <c r="H170" s="177" t="s">
        <v>1215</v>
      </c>
    </row>
    <row r="171" spans="1:8">
      <c r="A171" s="177" t="s">
        <v>1041</v>
      </c>
      <c r="B171" s="177">
        <v>139</v>
      </c>
      <c r="C171" s="177">
        <v>32</v>
      </c>
      <c r="D171" s="177">
        <v>15</v>
      </c>
      <c r="E171" s="177">
        <v>14</v>
      </c>
      <c r="F171" s="223">
        <v>3.2</v>
      </c>
      <c r="G171" s="177" t="s">
        <v>1214</v>
      </c>
      <c r="H171" s="177" t="s">
        <v>1215</v>
      </c>
    </row>
    <row r="172" spans="1:8">
      <c r="A172" s="260" t="s">
        <v>1041</v>
      </c>
      <c r="B172" s="260"/>
      <c r="C172" s="264">
        <v>33</v>
      </c>
      <c r="D172" s="177">
        <v>15</v>
      </c>
      <c r="F172" s="223">
        <v>1.7136150234741785</v>
      </c>
      <c r="G172" s="177" t="s">
        <v>1190</v>
      </c>
      <c r="H172" s="177" t="s">
        <v>1189</v>
      </c>
    </row>
    <row r="173" spans="1:8">
      <c r="A173" s="177" t="s">
        <v>1041</v>
      </c>
      <c r="B173" s="177">
        <v>140</v>
      </c>
      <c r="C173" s="177">
        <v>33</v>
      </c>
      <c r="D173" s="177">
        <v>5</v>
      </c>
      <c r="E173" s="177">
        <v>8</v>
      </c>
      <c r="F173" s="223">
        <v>0.6</v>
      </c>
      <c r="G173" s="177" t="s">
        <v>1214</v>
      </c>
      <c r="H173" s="177" t="s">
        <v>1215</v>
      </c>
    </row>
    <row r="174" spans="1:8">
      <c r="A174" s="177" t="s">
        <v>1041</v>
      </c>
      <c r="B174" s="177">
        <v>141</v>
      </c>
      <c r="C174" s="177">
        <v>33</v>
      </c>
      <c r="D174" s="177">
        <v>6</v>
      </c>
      <c r="E174" s="177">
        <v>10</v>
      </c>
      <c r="F174" s="223">
        <v>1.4</v>
      </c>
      <c r="G174" s="177" t="s">
        <v>1214</v>
      </c>
      <c r="H174" s="177" t="s">
        <v>1215</v>
      </c>
    </row>
    <row r="175" spans="1:8">
      <c r="A175" s="177" t="s">
        <v>1041</v>
      </c>
      <c r="B175" s="177">
        <v>142</v>
      </c>
      <c r="C175" s="177">
        <v>33</v>
      </c>
      <c r="D175" s="177">
        <v>6</v>
      </c>
      <c r="E175" s="177">
        <v>12</v>
      </c>
      <c r="F175" s="223">
        <v>1.8</v>
      </c>
      <c r="G175" s="177" t="s">
        <v>1214</v>
      </c>
      <c r="H175" s="177" t="s">
        <v>1215</v>
      </c>
    </row>
    <row r="176" spans="1:8">
      <c r="A176" s="177" t="s">
        <v>1041</v>
      </c>
      <c r="B176" s="177">
        <v>143</v>
      </c>
      <c r="C176" s="177">
        <v>33</v>
      </c>
      <c r="D176" s="177">
        <v>6</v>
      </c>
      <c r="E176" s="177">
        <v>14</v>
      </c>
      <c r="F176" s="223">
        <v>3.9</v>
      </c>
      <c r="G176" s="177" t="s">
        <v>1214</v>
      </c>
      <c r="H176" s="177" t="s">
        <v>1215</v>
      </c>
    </row>
    <row r="177" spans="1:8">
      <c r="A177" s="177" t="s">
        <v>1041</v>
      </c>
      <c r="B177" s="177">
        <v>144</v>
      </c>
      <c r="C177" s="177">
        <v>33</v>
      </c>
      <c r="D177" s="177">
        <v>5</v>
      </c>
      <c r="E177" s="177">
        <v>8</v>
      </c>
      <c r="F177" s="223">
        <v>1.1000000000000001</v>
      </c>
      <c r="G177" s="177" t="s">
        <v>1214</v>
      </c>
      <c r="H177" s="177" t="s">
        <v>1215</v>
      </c>
    </row>
    <row r="178" spans="1:8">
      <c r="A178" s="177" t="s">
        <v>1041</v>
      </c>
      <c r="B178" s="177">
        <v>145</v>
      </c>
      <c r="C178" s="177">
        <v>33</v>
      </c>
      <c r="D178" s="177">
        <v>5</v>
      </c>
      <c r="E178" s="177">
        <v>10</v>
      </c>
      <c r="F178" s="223">
        <v>2.1</v>
      </c>
      <c r="G178" s="177" t="s">
        <v>1214</v>
      </c>
      <c r="H178" s="177" t="s">
        <v>1215</v>
      </c>
    </row>
    <row r="179" spans="1:8">
      <c r="A179" s="177" t="s">
        <v>1041</v>
      </c>
      <c r="B179" s="177">
        <v>146</v>
      </c>
      <c r="C179" s="177">
        <v>33</v>
      </c>
      <c r="D179" s="177">
        <v>6</v>
      </c>
      <c r="E179" s="177">
        <v>11</v>
      </c>
      <c r="F179" s="223">
        <v>2.1</v>
      </c>
      <c r="G179" s="177" t="s">
        <v>1214</v>
      </c>
      <c r="H179" s="177" t="s">
        <v>1215</v>
      </c>
    </row>
    <row r="180" spans="1:8">
      <c r="A180" s="177" t="s">
        <v>1041</v>
      </c>
      <c r="B180" s="177">
        <v>147</v>
      </c>
      <c r="C180" s="177">
        <v>33</v>
      </c>
      <c r="D180" s="177">
        <v>7</v>
      </c>
      <c r="E180" s="177">
        <v>14</v>
      </c>
      <c r="F180" s="223">
        <v>4.5</v>
      </c>
      <c r="G180" s="177" t="s">
        <v>1214</v>
      </c>
      <c r="H180" s="177" t="s">
        <v>1215</v>
      </c>
    </row>
    <row r="181" spans="1:8">
      <c r="A181" s="177" t="s">
        <v>1041</v>
      </c>
      <c r="B181" s="177">
        <v>148</v>
      </c>
      <c r="C181" s="177">
        <v>33</v>
      </c>
      <c r="D181" s="177">
        <v>5</v>
      </c>
      <c r="E181" s="177">
        <v>6</v>
      </c>
      <c r="F181" s="223">
        <v>0.9</v>
      </c>
      <c r="G181" s="177" t="s">
        <v>1214</v>
      </c>
      <c r="H181" s="177" t="s">
        <v>1215</v>
      </c>
    </row>
    <row r="182" spans="1:8">
      <c r="A182" s="177" t="s">
        <v>1041</v>
      </c>
      <c r="B182" s="177">
        <v>149</v>
      </c>
      <c r="C182" s="177">
        <v>33</v>
      </c>
      <c r="D182" s="177">
        <v>5</v>
      </c>
      <c r="E182" s="177">
        <v>8</v>
      </c>
      <c r="F182" s="223">
        <v>1.4</v>
      </c>
      <c r="G182" s="177" t="s">
        <v>1214</v>
      </c>
      <c r="H182" s="177" t="s">
        <v>1215</v>
      </c>
    </row>
    <row r="183" spans="1:8">
      <c r="A183" s="177" t="s">
        <v>1041</v>
      </c>
      <c r="B183" s="177">
        <v>150</v>
      </c>
      <c r="C183" s="177">
        <v>33</v>
      </c>
      <c r="D183" s="177">
        <v>5</v>
      </c>
      <c r="E183" s="177">
        <v>9</v>
      </c>
      <c r="F183" s="223">
        <v>1.8</v>
      </c>
      <c r="G183" s="177" t="s">
        <v>1214</v>
      </c>
      <c r="H183" s="177" t="s">
        <v>1215</v>
      </c>
    </row>
    <row r="184" spans="1:8">
      <c r="A184" s="177" t="s">
        <v>1041</v>
      </c>
      <c r="B184" s="177">
        <v>151</v>
      </c>
      <c r="C184" s="177">
        <v>33</v>
      </c>
      <c r="D184" s="177">
        <v>5</v>
      </c>
      <c r="E184" s="177">
        <v>11</v>
      </c>
      <c r="F184" s="223">
        <v>1.7</v>
      </c>
      <c r="G184" s="177" t="s">
        <v>1214</v>
      </c>
      <c r="H184" s="177" t="s">
        <v>1215</v>
      </c>
    </row>
    <row r="185" spans="1:8">
      <c r="A185" s="177" t="s">
        <v>1041</v>
      </c>
      <c r="B185" s="177">
        <v>152</v>
      </c>
      <c r="C185" s="177">
        <v>33</v>
      </c>
      <c r="D185" s="177">
        <v>5</v>
      </c>
      <c r="E185" s="177">
        <v>9</v>
      </c>
      <c r="F185" s="223">
        <v>1.2</v>
      </c>
      <c r="G185" s="177" t="s">
        <v>1214</v>
      </c>
      <c r="H185" s="177" t="s">
        <v>1215</v>
      </c>
    </row>
    <row r="186" spans="1:8">
      <c r="A186" s="177" t="s">
        <v>1041</v>
      </c>
      <c r="B186" s="177">
        <v>153</v>
      </c>
      <c r="C186" s="177">
        <v>33</v>
      </c>
      <c r="D186" s="177">
        <v>6</v>
      </c>
      <c r="E186" s="177">
        <v>10</v>
      </c>
      <c r="F186" s="223">
        <v>1.5</v>
      </c>
      <c r="G186" s="177" t="s">
        <v>1214</v>
      </c>
      <c r="H186" s="177" t="s">
        <v>1215</v>
      </c>
    </row>
    <row r="187" spans="1:8">
      <c r="A187" s="177" t="s">
        <v>1041</v>
      </c>
      <c r="B187" s="177">
        <v>154</v>
      </c>
      <c r="C187" s="177">
        <v>33</v>
      </c>
      <c r="D187" s="177">
        <v>6</v>
      </c>
      <c r="E187" s="177">
        <v>11</v>
      </c>
      <c r="F187" s="223">
        <v>2.1</v>
      </c>
      <c r="G187" s="177" t="s">
        <v>1214</v>
      </c>
      <c r="H187" s="177" t="s">
        <v>1215</v>
      </c>
    </row>
    <row r="188" spans="1:8">
      <c r="A188" s="177" t="s">
        <v>1041</v>
      </c>
      <c r="B188" s="177">
        <v>155</v>
      </c>
      <c r="C188" s="177">
        <v>33</v>
      </c>
      <c r="D188" s="177">
        <v>6</v>
      </c>
      <c r="E188" s="177">
        <v>13</v>
      </c>
      <c r="F188" s="223">
        <v>3.4</v>
      </c>
      <c r="G188" s="177" t="s">
        <v>1214</v>
      </c>
      <c r="H188" s="177" t="s">
        <v>1215</v>
      </c>
    </row>
    <row r="189" spans="1:8" ht="25.5">
      <c r="A189" s="262" t="s">
        <v>1057</v>
      </c>
      <c r="B189" s="262"/>
      <c r="C189" s="264">
        <v>34</v>
      </c>
      <c r="D189" s="177">
        <v>15.1</v>
      </c>
      <c r="F189" s="257">
        <v>4.838709677419355</v>
      </c>
      <c r="G189" s="177" t="s">
        <v>1190</v>
      </c>
      <c r="H189" s="177" t="s">
        <v>1189</v>
      </c>
    </row>
    <row r="190" spans="1:8">
      <c r="A190" s="260" t="s">
        <v>1041</v>
      </c>
      <c r="B190" s="260"/>
      <c r="C190" s="264">
        <v>35</v>
      </c>
      <c r="D190" s="177">
        <v>14.2</v>
      </c>
      <c r="F190" s="223">
        <v>5.1851851851851851</v>
      </c>
      <c r="G190" s="177" t="s">
        <v>1190</v>
      </c>
      <c r="H190" s="177" t="s">
        <v>1189</v>
      </c>
    </row>
    <row r="191" spans="1:8">
      <c r="A191" s="177" t="s">
        <v>1041</v>
      </c>
      <c r="B191" s="177">
        <v>156</v>
      </c>
      <c r="C191" s="177">
        <v>42</v>
      </c>
      <c r="D191" s="177">
        <v>21</v>
      </c>
      <c r="E191" s="177">
        <v>16</v>
      </c>
      <c r="F191" s="223">
        <v>3.3</v>
      </c>
      <c r="G191" s="177" t="s">
        <v>1214</v>
      </c>
      <c r="H191" s="177" t="s">
        <v>1215</v>
      </c>
    </row>
    <row r="192" spans="1:8">
      <c r="A192" s="177" t="s">
        <v>1041</v>
      </c>
      <c r="B192" s="177">
        <v>157</v>
      </c>
      <c r="C192" s="177">
        <v>42</v>
      </c>
      <c r="D192" s="177">
        <v>22</v>
      </c>
      <c r="E192" s="177">
        <v>18</v>
      </c>
      <c r="F192" s="223">
        <v>4.5</v>
      </c>
      <c r="G192" s="177" t="s">
        <v>1214</v>
      </c>
      <c r="H192" s="177" t="s">
        <v>1215</v>
      </c>
    </row>
    <row r="193" spans="1:8">
      <c r="A193" s="177" t="s">
        <v>1041</v>
      </c>
      <c r="B193" s="177">
        <v>158</v>
      </c>
      <c r="C193" s="177">
        <v>42</v>
      </c>
      <c r="D193" s="177">
        <v>22</v>
      </c>
      <c r="E193" s="177">
        <v>24</v>
      </c>
      <c r="F193" s="223">
        <v>8.9</v>
      </c>
      <c r="G193" s="177" t="s">
        <v>1214</v>
      </c>
      <c r="H193" s="177" t="s">
        <v>1215</v>
      </c>
    </row>
    <row r="194" spans="1:8">
      <c r="A194" s="250" t="s">
        <v>1041</v>
      </c>
      <c r="B194" s="250"/>
      <c r="C194" s="265">
        <v>45</v>
      </c>
      <c r="D194" s="177">
        <v>15.4</v>
      </c>
      <c r="F194" s="258">
        <v>3.0985915492957745</v>
      </c>
      <c r="G194" s="177" t="s">
        <v>1190</v>
      </c>
      <c r="H194" s="177" t="s">
        <v>1189</v>
      </c>
    </row>
    <row r="195" spans="1:8">
      <c r="A195" s="250" t="s">
        <v>1041</v>
      </c>
      <c r="B195" s="250"/>
      <c r="C195" s="265">
        <v>47</v>
      </c>
      <c r="D195" s="177">
        <v>12</v>
      </c>
      <c r="F195" s="258">
        <v>4.1420118343195265</v>
      </c>
      <c r="G195" s="177" t="s">
        <v>1190</v>
      </c>
      <c r="H195" s="177" t="s">
        <v>1189</v>
      </c>
    </row>
    <row r="196" spans="1:8" ht="25.5">
      <c r="A196" s="262" t="s">
        <v>1056</v>
      </c>
      <c r="B196" s="262"/>
      <c r="C196" s="264">
        <v>50</v>
      </c>
      <c r="D196" s="177">
        <v>14.8</v>
      </c>
      <c r="F196" s="257">
        <v>2.4788732394366195</v>
      </c>
      <c r="G196" s="177" t="s">
        <v>1190</v>
      </c>
      <c r="H196" s="177" t="s">
        <v>1189</v>
      </c>
    </row>
    <row r="197" spans="1:8">
      <c r="A197" s="260" t="s">
        <v>1041</v>
      </c>
      <c r="B197" s="260"/>
      <c r="C197" s="264">
        <v>55</v>
      </c>
      <c r="D197" s="177">
        <v>16</v>
      </c>
      <c r="F197" s="223">
        <v>9.473684210526315</v>
      </c>
      <c r="G197" s="177" t="s">
        <v>1190</v>
      </c>
      <c r="H197" s="177" t="s">
        <v>1189</v>
      </c>
    </row>
    <row r="198" spans="1:8">
      <c r="A198" s="177" t="s">
        <v>1041</v>
      </c>
      <c r="B198" s="177">
        <v>159</v>
      </c>
      <c r="C198" s="177">
        <v>55</v>
      </c>
      <c r="D198" s="177">
        <v>21</v>
      </c>
      <c r="E198" s="177">
        <v>22</v>
      </c>
      <c r="F198" s="223">
        <v>6.1</v>
      </c>
      <c r="G198" s="177" t="s">
        <v>1214</v>
      </c>
      <c r="H198" s="177" t="s">
        <v>1215</v>
      </c>
    </row>
    <row r="199" spans="1:8">
      <c r="A199" s="177" t="s">
        <v>1041</v>
      </c>
      <c r="B199" s="177">
        <v>160</v>
      </c>
      <c r="C199" s="177">
        <v>60</v>
      </c>
      <c r="D199" s="177">
        <v>25</v>
      </c>
      <c r="E199" s="177">
        <v>22</v>
      </c>
      <c r="F199" s="223">
        <v>2.8</v>
      </c>
      <c r="G199" s="177" t="s">
        <v>1214</v>
      </c>
      <c r="H199" s="177" t="s">
        <v>1215</v>
      </c>
    </row>
    <row r="200" spans="1:8">
      <c r="A200" s="177" t="s">
        <v>1041</v>
      </c>
      <c r="B200" s="177">
        <v>161</v>
      </c>
      <c r="C200" s="177">
        <v>60</v>
      </c>
      <c r="D200" s="177">
        <v>28</v>
      </c>
      <c r="E200" s="177">
        <v>32</v>
      </c>
      <c r="F200" s="223">
        <v>6.8</v>
      </c>
      <c r="G200" s="177" t="s">
        <v>1214</v>
      </c>
      <c r="H200" s="177" t="s">
        <v>1215</v>
      </c>
    </row>
    <row r="201" spans="1:8">
      <c r="A201" s="177" t="s">
        <v>1041</v>
      </c>
      <c r="B201" s="177">
        <v>162</v>
      </c>
      <c r="C201" s="177">
        <v>60</v>
      </c>
      <c r="D201" s="177">
        <v>25</v>
      </c>
      <c r="E201" s="177">
        <v>33</v>
      </c>
      <c r="F201" s="223">
        <v>5.6</v>
      </c>
      <c r="G201" s="177" t="s">
        <v>1214</v>
      </c>
      <c r="H201" s="177" t="s">
        <v>1215</v>
      </c>
    </row>
    <row r="202" spans="1:8">
      <c r="A202" s="260" t="s">
        <v>1041</v>
      </c>
      <c r="B202" s="260"/>
      <c r="C202" s="264">
        <v>64</v>
      </c>
      <c r="D202" s="177">
        <v>16.5</v>
      </c>
      <c r="F202" s="223">
        <v>5.7668711656441713</v>
      </c>
      <c r="G202" s="177" t="s">
        <v>1190</v>
      </c>
      <c r="H202" s="177" t="s">
        <v>1189</v>
      </c>
    </row>
    <row r="203" spans="1:8">
      <c r="A203" s="177" t="s">
        <v>1041</v>
      </c>
      <c r="B203" s="177">
        <v>163</v>
      </c>
      <c r="C203" s="177">
        <v>65</v>
      </c>
      <c r="D203" s="177">
        <v>21</v>
      </c>
      <c r="E203" s="177">
        <v>18</v>
      </c>
      <c r="F203" s="223">
        <v>2.2000000000000002</v>
      </c>
      <c r="G203" s="177" t="s">
        <v>1214</v>
      </c>
      <c r="H203" s="177" t="s">
        <v>1215</v>
      </c>
    </row>
    <row r="204" spans="1:8">
      <c r="A204" s="177" t="s">
        <v>1041</v>
      </c>
      <c r="B204" s="177">
        <v>164</v>
      </c>
      <c r="C204" s="177">
        <v>65</v>
      </c>
      <c r="D204" s="177">
        <v>24</v>
      </c>
      <c r="E204" s="177">
        <v>23</v>
      </c>
      <c r="F204" s="223">
        <v>4.8</v>
      </c>
      <c r="G204" s="177" t="s">
        <v>1214</v>
      </c>
      <c r="H204" s="177" t="s">
        <v>1215</v>
      </c>
    </row>
    <row r="205" spans="1:8">
      <c r="A205" s="177" t="s">
        <v>1041</v>
      </c>
      <c r="B205" s="177">
        <v>165</v>
      </c>
      <c r="C205" s="177">
        <v>65</v>
      </c>
      <c r="D205" s="177">
        <v>25</v>
      </c>
      <c r="E205" s="177">
        <v>27</v>
      </c>
      <c r="F205" s="223">
        <v>8</v>
      </c>
      <c r="G205" s="177" t="s">
        <v>1214</v>
      </c>
      <c r="H205" s="177" t="s">
        <v>1215</v>
      </c>
    </row>
    <row r="206" spans="1:8">
      <c r="A206" s="177" t="s">
        <v>1041</v>
      </c>
      <c r="B206" s="177">
        <v>166</v>
      </c>
      <c r="C206" s="177">
        <v>65</v>
      </c>
      <c r="D206" s="177">
        <v>25</v>
      </c>
      <c r="E206" s="177">
        <v>32</v>
      </c>
      <c r="F206" s="223">
        <v>17.399999999999999</v>
      </c>
      <c r="G206" s="177" t="s">
        <v>1214</v>
      </c>
      <c r="H206" s="177" t="s">
        <v>1215</v>
      </c>
    </row>
    <row r="207" spans="1:8">
      <c r="A207" s="177" t="s">
        <v>1041</v>
      </c>
      <c r="B207" s="177">
        <v>167</v>
      </c>
      <c r="C207" s="177">
        <v>65</v>
      </c>
      <c r="D207" s="177">
        <v>17</v>
      </c>
      <c r="E207" s="177">
        <v>17</v>
      </c>
      <c r="F207" s="223">
        <v>1.5</v>
      </c>
      <c r="G207" s="177" t="s">
        <v>1214</v>
      </c>
      <c r="H207" s="177" t="s">
        <v>1215</v>
      </c>
    </row>
    <row r="208" spans="1:8">
      <c r="A208" s="177" t="s">
        <v>1041</v>
      </c>
      <c r="B208" s="177">
        <v>168</v>
      </c>
      <c r="C208" s="177">
        <v>65</v>
      </c>
      <c r="D208" s="177">
        <v>18</v>
      </c>
      <c r="E208" s="177">
        <v>21</v>
      </c>
      <c r="F208" s="223">
        <v>4.2</v>
      </c>
      <c r="G208" s="177" t="s">
        <v>1214</v>
      </c>
      <c r="H208" s="177" t="s">
        <v>1215</v>
      </c>
    </row>
    <row r="209" spans="1:8">
      <c r="A209" s="177" t="s">
        <v>1041</v>
      </c>
      <c r="B209" s="177">
        <v>169</v>
      </c>
      <c r="C209" s="177">
        <v>65</v>
      </c>
      <c r="D209" s="177">
        <v>17</v>
      </c>
      <c r="E209" s="177">
        <v>24</v>
      </c>
      <c r="F209" s="223">
        <v>5.0999999999999996</v>
      </c>
      <c r="G209" s="177" t="s">
        <v>1214</v>
      </c>
      <c r="H209" s="177" t="s">
        <v>1215</v>
      </c>
    </row>
    <row r="210" spans="1:8">
      <c r="A210" s="177" t="s">
        <v>1041</v>
      </c>
      <c r="B210" s="177">
        <v>170</v>
      </c>
      <c r="C210" s="177">
        <v>70</v>
      </c>
      <c r="D210" s="177">
        <v>21</v>
      </c>
      <c r="E210" s="177">
        <v>17</v>
      </c>
      <c r="F210" s="223">
        <v>1.5</v>
      </c>
      <c r="G210" s="177" t="s">
        <v>1214</v>
      </c>
      <c r="H210" s="177" t="s">
        <v>1215</v>
      </c>
    </row>
    <row r="211" spans="1:8">
      <c r="A211" s="177" t="s">
        <v>1041</v>
      </c>
      <c r="B211" s="177">
        <v>171</v>
      </c>
      <c r="C211" s="177">
        <v>70</v>
      </c>
      <c r="D211" s="177">
        <v>26</v>
      </c>
      <c r="E211" s="177">
        <v>28</v>
      </c>
      <c r="F211" s="223">
        <v>5.5</v>
      </c>
      <c r="G211" s="177" t="s">
        <v>1214</v>
      </c>
      <c r="H211" s="177" t="s">
        <v>1215</v>
      </c>
    </row>
    <row r="212" spans="1:8">
      <c r="A212" s="177" t="s">
        <v>1041</v>
      </c>
      <c r="B212" s="177">
        <v>172</v>
      </c>
      <c r="C212" s="177">
        <v>70</v>
      </c>
      <c r="D212" s="177">
        <v>27</v>
      </c>
      <c r="E212" s="177">
        <v>37</v>
      </c>
      <c r="F212" s="223">
        <v>17.399999999999999</v>
      </c>
      <c r="G212" s="177" t="s">
        <v>1214</v>
      </c>
      <c r="H212" s="177" t="s">
        <v>1215</v>
      </c>
    </row>
    <row r="213" spans="1:8">
      <c r="A213" s="177" t="s">
        <v>1041</v>
      </c>
      <c r="B213" s="177">
        <v>173</v>
      </c>
      <c r="C213" s="177">
        <v>71</v>
      </c>
      <c r="D213" s="177">
        <v>27</v>
      </c>
      <c r="E213" s="177">
        <v>29</v>
      </c>
      <c r="F213" s="223">
        <v>6.3</v>
      </c>
      <c r="G213" s="177" t="s">
        <v>1214</v>
      </c>
      <c r="H213" s="177" t="s">
        <v>1215</v>
      </c>
    </row>
    <row r="214" spans="1:8" ht="25.5">
      <c r="A214" s="262" t="s">
        <v>1057</v>
      </c>
      <c r="B214" s="262"/>
      <c r="C214" s="264">
        <v>77</v>
      </c>
      <c r="D214" s="177">
        <v>17.100000000000001</v>
      </c>
      <c r="F214" s="257">
        <v>6.1643835616438354</v>
      </c>
      <c r="G214" s="177" t="s">
        <v>1190</v>
      </c>
      <c r="H214" s="177" t="s">
        <v>1189</v>
      </c>
    </row>
    <row r="215" spans="1:8">
      <c r="A215" s="177" t="s">
        <v>1041</v>
      </c>
      <c r="B215" s="177">
        <v>174</v>
      </c>
      <c r="C215" s="177">
        <v>80</v>
      </c>
      <c r="D215" s="177">
        <v>27</v>
      </c>
      <c r="E215" s="177">
        <v>25</v>
      </c>
      <c r="F215" s="223">
        <v>2.9</v>
      </c>
      <c r="G215" s="177" t="s">
        <v>1214</v>
      </c>
      <c r="H215" s="177" t="s">
        <v>1215</v>
      </c>
    </row>
    <row r="216" spans="1:8">
      <c r="A216" s="177" t="s">
        <v>1041</v>
      </c>
      <c r="B216" s="177">
        <v>175</v>
      </c>
      <c r="C216" s="177">
        <v>80</v>
      </c>
      <c r="D216" s="177">
        <v>29</v>
      </c>
      <c r="E216" s="177">
        <v>29</v>
      </c>
      <c r="F216" s="223">
        <v>5.5</v>
      </c>
      <c r="G216" s="177" t="s">
        <v>1214</v>
      </c>
      <c r="H216" s="177" t="s">
        <v>1215</v>
      </c>
    </row>
    <row r="217" spans="1:8">
      <c r="A217" s="177" t="s">
        <v>1041</v>
      </c>
      <c r="B217" s="177">
        <v>176</v>
      </c>
      <c r="C217" s="177">
        <v>80</v>
      </c>
      <c r="D217" s="177">
        <v>31</v>
      </c>
      <c r="E217" s="177">
        <v>35</v>
      </c>
      <c r="F217" s="223">
        <v>8.5</v>
      </c>
      <c r="G217" s="177" t="s">
        <v>1214</v>
      </c>
      <c r="H217" s="177" t="s">
        <v>1215</v>
      </c>
    </row>
    <row r="218" spans="1:8">
      <c r="A218" s="177" t="s">
        <v>1041</v>
      </c>
      <c r="B218" s="177">
        <v>177</v>
      </c>
      <c r="C218" s="177">
        <v>80</v>
      </c>
      <c r="D218" s="177">
        <v>31</v>
      </c>
      <c r="E218" s="177">
        <v>39</v>
      </c>
      <c r="F218" s="223">
        <v>17.7</v>
      </c>
      <c r="G218" s="177" t="s">
        <v>1214</v>
      </c>
      <c r="H218" s="177" t="s">
        <v>1215</v>
      </c>
    </row>
    <row r="219" spans="1:8">
      <c r="A219" s="177" t="s">
        <v>1041</v>
      </c>
      <c r="B219" s="177">
        <v>178</v>
      </c>
      <c r="C219" s="177">
        <v>81</v>
      </c>
      <c r="D219" s="177">
        <v>21</v>
      </c>
      <c r="E219" s="177">
        <v>24</v>
      </c>
      <c r="F219" s="223">
        <v>4.5999999999999996</v>
      </c>
      <c r="G219" s="177" t="s">
        <v>1214</v>
      </c>
      <c r="H219" s="177" t="s">
        <v>1215</v>
      </c>
    </row>
    <row r="220" spans="1:8">
      <c r="A220" s="177" t="s">
        <v>1041</v>
      </c>
      <c r="B220" s="177">
        <v>179</v>
      </c>
      <c r="C220" s="177">
        <v>81</v>
      </c>
      <c r="D220" s="177">
        <v>21</v>
      </c>
      <c r="E220" s="177">
        <v>27</v>
      </c>
      <c r="F220" s="223">
        <v>5.2</v>
      </c>
      <c r="G220" s="177" t="s">
        <v>1214</v>
      </c>
      <c r="H220" s="177" t="s">
        <v>1215</v>
      </c>
    </row>
    <row r="221" spans="1:8">
      <c r="A221" s="177" t="s">
        <v>1041</v>
      </c>
      <c r="B221" s="177">
        <v>180</v>
      </c>
      <c r="C221" s="177">
        <v>81</v>
      </c>
      <c r="D221" s="177">
        <v>21</v>
      </c>
      <c r="E221" s="177">
        <v>32</v>
      </c>
      <c r="F221" s="223">
        <v>4.0999999999999996</v>
      </c>
      <c r="G221" s="177" t="s">
        <v>1214</v>
      </c>
      <c r="H221" s="177" t="s">
        <v>1215</v>
      </c>
    </row>
    <row r="222" spans="1:8">
      <c r="A222" s="177" t="s">
        <v>1041</v>
      </c>
      <c r="B222" s="177">
        <v>181</v>
      </c>
      <c r="C222" s="177">
        <v>82</v>
      </c>
      <c r="D222" s="177">
        <v>26</v>
      </c>
      <c r="E222" s="177">
        <v>23</v>
      </c>
      <c r="F222" s="223">
        <v>1.7</v>
      </c>
      <c r="G222" s="177" t="s">
        <v>1214</v>
      </c>
      <c r="H222" s="177" t="s">
        <v>1215</v>
      </c>
    </row>
    <row r="223" spans="1:8">
      <c r="A223" s="177" t="s">
        <v>1041</v>
      </c>
      <c r="B223" s="177">
        <v>182</v>
      </c>
      <c r="C223" s="177">
        <v>82</v>
      </c>
      <c r="D223" s="177">
        <v>28</v>
      </c>
      <c r="E223" s="177">
        <v>26</v>
      </c>
      <c r="F223" s="223">
        <v>5.5</v>
      </c>
      <c r="G223" s="177" t="s">
        <v>1214</v>
      </c>
      <c r="H223" s="177" t="s">
        <v>1215</v>
      </c>
    </row>
    <row r="224" spans="1:8">
      <c r="A224" s="177" t="s">
        <v>1041</v>
      </c>
      <c r="B224" s="177">
        <v>183</v>
      </c>
      <c r="C224" s="177">
        <v>82</v>
      </c>
      <c r="D224" s="177">
        <v>27</v>
      </c>
      <c r="E224" s="177">
        <v>29</v>
      </c>
      <c r="F224" s="223">
        <v>6</v>
      </c>
      <c r="G224" s="177" t="s">
        <v>1214</v>
      </c>
      <c r="H224" s="177" t="s">
        <v>1215</v>
      </c>
    </row>
    <row r="225" spans="1:8">
      <c r="A225" s="177" t="s">
        <v>1041</v>
      </c>
      <c r="B225" s="177">
        <v>184</v>
      </c>
      <c r="C225" s="177">
        <v>82</v>
      </c>
      <c r="D225" s="177">
        <v>27</v>
      </c>
      <c r="E225" s="177">
        <v>32</v>
      </c>
      <c r="F225" s="223">
        <v>5.9</v>
      </c>
      <c r="G225" s="177" t="s">
        <v>1214</v>
      </c>
      <c r="H225" s="177" t="s">
        <v>1215</v>
      </c>
    </row>
    <row r="226" spans="1:8">
      <c r="A226" s="177" t="s">
        <v>1041</v>
      </c>
      <c r="B226" s="177">
        <v>185</v>
      </c>
      <c r="C226" s="177">
        <v>82</v>
      </c>
      <c r="D226" s="177">
        <v>29</v>
      </c>
      <c r="E226" s="177">
        <v>37</v>
      </c>
      <c r="F226" s="223">
        <v>9.4</v>
      </c>
      <c r="G226" s="177" t="s">
        <v>1214</v>
      </c>
      <c r="H226" s="177" t="s">
        <v>1215</v>
      </c>
    </row>
    <row r="227" spans="1:8">
      <c r="A227" s="177" t="s">
        <v>1041</v>
      </c>
      <c r="B227" s="177">
        <v>187</v>
      </c>
      <c r="C227" s="177">
        <v>82</v>
      </c>
      <c r="D227" s="177">
        <v>20</v>
      </c>
      <c r="E227" s="177">
        <v>28</v>
      </c>
      <c r="F227" s="223">
        <v>11.7</v>
      </c>
      <c r="G227" s="177" t="s">
        <v>1214</v>
      </c>
      <c r="H227" s="177" t="s">
        <v>1215</v>
      </c>
    </row>
    <row r="228" spans="1:8">
      <c r="A228" s="177" t="s">
        <v>1041</v>
      </c>
      <c r="B228" s="177">
        <v>188</v>
      </c>
      <c r="C228" s="177">
        <v>82</v>
      </c>
      <c r="D228" s="177">
        <v>24</v>
      </c>
      <c r="E228" s="177">
        <v>37</v>
      </c>
      <c r="F228" s="223">
        <v>15.6</v>
      </c>
      <c r="G228" s="177" t="s">
        <v>1214</v>
      </c>
      <c r="H228" s="177" t="s">
        <v>1215</v>
      </c>
    </row>
    <row r="229" spans="1:8">
      <c r="A229" s="177" t="s">
        <v>1041</v>
      </c>
      <c r="B229" s="177">
        <v>189</v>
      </c>
      <c r="C229" s="177">
        <v>82</v>
      </c>
      <c r="D229" s="177">
        <v>22</v>
      </c>
      <c r="E229" s="177">
        <v>42</v>
      </c>
      <c r="F229" s="223">
        <v>23.3</v>
      </c>
      <c r="G229" s="177" t="s">
        <v>1214</v>
      </c>
      <c r="H229" s="177" t="s">
        <v>1215</v>
      </c>
    </row>
    <row r="230" spans="1:8">
      <c r="A230" s="177" t="s">
        <v>1041</v>
      </c>
      <c r="B230" s="177">
        <v>186</v>
      </c>
      <c r="C230" s="177">
        <v>83</v>
      </c>
      <c r="D230" s="177">
        <v>21</v>
      </c>
      <c r="E230" s="177">
        <v>21</v>
      </c>
      <c r="F230" s="223">
        <v>3.7</v>
      </c>
      <c r="G230" s="177" t="s">
        <v>1214</v>
      </c>
      <c r="H230" s="177" t="s">
        <v>1215</v>
      </c>
    </row>
    <row r="231" spans="1:8">
      <c r="A231" s="177" t="s">
        <v>1041</v>
      </c>
      <c r="B231" s="177">
        <v>190</v>
      </c>
      <c r="C231" s="177">
        <v>83</v>
      </c>
      <c r="D231" s="177">
        <v>28</v>
      </c>
      <c r="E231" s="177">
        <v>28</v>
      </c>
      <c r="F231" s="223">
        <v>4.2</v>
      </c>
      <c r="G231" s="177" t="s">
        <v>1214</v>
      </c>
      <c r="H231" s="177" t="s">
        <v>1215</v>
      </c>
    </row>
    <row r="232" spans="1:8">
      <c r="A232" s="177" t="s">
        <v>1041</v>
      </c>
      <c r="B232" s="177">
        <v>191</v>
      </c>
      <c r="C232" s="177">
        <v>83</v>
      </c>
      <c r="D232" s="177">
        <v>30</v>
      </c>
      <c r="E232" s="177">
        <v>36</v>
      </c>
      <c r="F232" s="223">
        <v>11.5</v>
      </c>
      <c r="G232" s="177" t="s">
        <v>1214</v>
      </c>
      <c r="H232" s="177" t="s">
        <v>1215</v>
      </c>
    </row>
    <row r="233" spans="1:8">
      <c r="A233" s="177" t="s">
        <v>1041</v>
      </c>
      <c r="B233" s="177">
        <v>192</v>
      </c>
      <c r="C233" s="177">
        <v>83</v>
      </c>
      <c r="D233" s="177">
        <v>30</v>
      </c>
      <c r="E233" s="177">
        <v>38</v>
      </c>
      <c r="F233" s="223">
        <v>11.3</v>
      </c>
      <c r="G233" s="177" t="s">
        <v>1214</v>
      </c>
      <c r="H233" s="177" t="s">
        <v>1215</v>
      </c>
    </row>
    <row r="234" spans="1:8">
      <c r="A234" s="177" t="s">
        <v>1041</v>
      </c>
      <c r="B234" s="177">
        <v>193</v>
      </c>
      <c r="C234" s="177">
        <v>84</v>
      </c>
      <c r="D234" s="177">
        <v>28</v>
      </c>
      <c r="E234" s="177">
        <v>43</v>
      </c>
      <c r="F234" s="223">
        <v>11.9</v>
      </c>
      <c r="G234" s="177" t="s">
        <v>1214</v>
      </c>
      <c r="H234" s="177" t="s">
        <v>1215</v>
      </c>
    </row>
    <row r="235" spans="1:8">
      <c r="A235" s="177" t="s">
        <v>1041</v>
      </c>
      <c r="B235" s="177">
        <v>194</v>
      </c>
      <c r="C235" s="177">
        <v>85</v>
      </c>
      <c r="D235" s="177">
        <v>31</v>
      </c>
      <c r="E235" s="177">
        <v>53</v>
      </c>
      <c r="F235" s="223">
        <v>30.1</v>
      </c>
      <c r="G235" s="177" t="s">
        <v>1214</v>
      </c>
      <c r="H235" s="177" t="s">
        <v>1215</v>
      </c>
    </row>
    <row r="236" spans="1:8">
      <c r="A236" s="177" t="s">
        <v>1041</v>
      </c>
      <c r="B236" s="177">
        <v>195</v>
      </c>
      <c r="C236" s="177">
        <v>85</v>
      </c>
      <c r="D236" s="177">
        <v>29</v>
      </c>
      <c r="E236" s="177">
        <v>35</v>
      </c>
      <c r="F236" s="223">
        <v>10.9</v>
      </c>
      <c r="G236" s="177" t="s">
        <v>1214</v>
      </c>
      <c r="H236" s="177" t="s">
        <v>1215</v>
      </c>
    </row>
    <row r="237" spans="1:8">
      <c r="A237" s="177" t="s">
        <v>1041</v>
      </c>
      <c r="B237" s="177">
        <v>196</v>
      </c>
      <c r="C237" s="177">
        <v>85</v>
      </c>
      <c r="D237" s="177">
        <v>30</v>
      </c>
      <c r="E237" s="177">
        <v>39</v>
      </c>
      <c r="F237" s="223">
        <v>14.8</v>
      </c>
      <c r="G237" s="177" t="s">
        <v>1214</v>
      </c>
      <c r="H237" s="177" t="s">
        <v>1215</v>
      </c>
    </row>
    <row r="238" spans="1:8">
      <c r="A238" s="177" t="s">
        <v>1041</v>
      </c>
      <c r="B238" s="177">
        <v>197</v>
      </c>
      <c r="C238" s="177">
        <v>85</v>
      </c>
      <c r="D238" s="177">
        <v>31</v>
      </c>
      <c r="E238" s="177">
        <v>49</v>
      </c>
      <c r="F238" s="223">
        <v>16.399999999999999</v>
      </c>
      <c r="G238" s="177" t="s">
        <v>1214</v>
      </c>
      <c r="H238" s="177" t="s">
        <v>1215</v>
      </c>
    </row>
    <row r="239" spans="1:8">
      <c r="A239" s="177" t="s">
        <v>1041</v>
      </c>
      <c r="B239" s="177">
        <v>198</v>
      </c>
      <c r="C239" s="177">
        <v>85</v>
      </c>
      <c r="D239" s="177">
        <v>31</v>
      </c>
      <c r="E239" s="177">
        <v>52</v>
      </c>
      <c r="F239" s="223">
        <v>14.3</v>
      </c>
      <c r="G239" s="177" t="s">
        <v>1214</v>
      </c>
      <c r="H239" s="177" t="s">
        <v>1215</v>
      </c>
    </row>
    <row r="240" spans="1:8">
      <c r="A240" s="177" t="s">
        <v>1041</v>
      </c>
      <c r="B240" s="177">
        <v>199</v>
      </c>
      <c r="C240" s="177">
        <v>86</v>
      </c>
      <c r="D240" s="177">
        <v>27</v>
      </c>
      <c r="E240" s="177">
        <v>22</v>
      </c>
      <c r="F240" s="223">
        <v>2.8</v>
      </c>
      <c r="G240" s="177" t="s">
        <v>1214</v>
      </c>
      <c r="H240" s="177" t="s">
        <v>1215</v>
      </c>
    </row>
    <row r="241" spans="1:8">
      <c r="A241" s="177" t="s">
        <v>1041</v>
      </c>
      <c r="B241" s="177">
        <v>200</v>
      </c>
      <c r="C241" s="177">
        <v>86</v>
      </c>
      <c r="D241" s="177">
        <v>32</v>
      </c>
      <c r="E241" s="177">
        <v>33</v>
      </c>
      <c r="F241" s="223">
        <v>13.2</v>
      </c>
      <c r="G241" s="177" t="s">
        <v>1214</v>
      </c>
      <c r="H241" s="177" t="s">
        <v>1215</v>
      </c>
    </row>
    <row r="242" spans="1:8">
      <c r="A242" s="177" t="s">
        <v>1041</v>
      </c>
      <c r="B242" s="177">
        <v>201</v>
      </c>
      <c r="C242" s="177">
        <v>86</v>
      </c>
      <c r="D242" s="177">
        <v>33</v>
      </c>
      <c r="E242" s="177">
        <v>43</v>
      </c>
      <c r="F242" s="223">
        <v>16.7</v>
      </c>
      <c r="G242" s="177" t="s">
        <v>1214</v>
      </c>
      <c r="H242" s="177" t="s">
        <v>1215</v>
      </c>
    </row>
    <row r="243" spans="1:8">
      <c r="A243" s="177" t="s">
        <v>1041</v>
      </c>
      <c r="B243" s="177">
        <v>202</v>
      </c>
      <c r="C243" s="177">
        <v>91</v>
      </c>
      <c r="D243" s="177">
        <v>31</v>
      </c>
      <c r="E243" s="177">
        <v>36</v>
      </c>
      <c r="F243" s="223">
        <v>8.6999999999999993</v>
      </c>
      <c r="G243" s="177" t="s">
        <v>1214</v>
      </c>
      <c r="H243" s="177" t="s">
        <v>1215</v>
      </c>
    </row>
    <row r="244" spans="1:8">
      <c r="A244" s="177" t="s">
        <v>1041</v>
      </c>
      <c r="B244" s="177">
        <v>204</v>
      </c>
      <c r="C244" s="177">
        <v>97</v>
      </c>
      <c r="D244" s="177">
        <v>32</v>
      </c>
      <c r="E244" s="177">
        <v>36</v>
      </c>
      <c r="F244" s="223">
        <v>11.7</v>
      </c>
      <c r="G244" s="177" t="s">
        <v>1214</v>
      </c>
      <c r="H244" s="177" t="s">
        <v>1215</v>
      </c>
    </row>
    <row r="245" spans="1:8">
      <c r="A245" s="177" t="s">
        <v>1041</v>
      </c>
      <c r="B245" s="177">
        <v>205</v>
      </c>
      <c r="C245" s="177">
        <v>97</v>
      </c>
      <c r="D245" s="177">
        <v>30</v>
      </c>
      <c r="E245" s="177">
        <v>42</v>
      </c>
      <c r="F245" s="223">
        <v>15.2</v>
      </c>
      <c r="G245" s="177" t="s">
        <v>1214</v>
      </c>
      <c r="H245" s="177" t="s">
        <v>1215</v>
      </c>
    </row>
    <row r="246" spans="1:8">
      <c r="A246" s="177" t="s">
        <v>1041</v>
      </c>
      <c r="B246" s="177">
        <v>208</v>
      </c>
      <c r="C246" s="177">
        <v>98</v>
      </c>
      <c r="D246" s="177">
        <v>34</v>
      </c>
      <c r="E246" s="177">
        <v>50</v>
      </c>
      <c r="F246" s="223">
        <v>26.1</v>
      </c>
      <c r="G246" s="177" t="s">
        <v>1214</v>
      </c>
      <c r="H246" s="177" t="s">
        <v>1215</v>
      </c>
    </row>
    <row r="247" spans="1:8" ht="25.5">
      <c r="A247" s="262" t="s">
        <v>1056</v>
      </c>
      <c r="B247" s="262"/>
      <c r="C247" s="264">
        <v>100</v>
      </c>
      <c r="D247" s="177">
        <v>19.2</v>
      </c>
      <c r="F247" s="257">
        <v>7.7262693156732896</v>
      </c>
      <c r="G247" s="177" t="s">
        <v>1190</v>
      </c>
      <c r="H247" s="177" t="s">
        <v>1189</v>
      </c>
    </row>
    <row r="248" spans="1:8">
      <c r="A248" s="177" t="s">
        <v>1041</v>
      </c>
      <c r="B248" s="177">
        <v>203</v>
      </c>
      <c r="C248" s="177">
        <v>101</v>
      </c>
      <c r="D248" s="177">
        <v>32</v>
      </c>
      <c r="E248" s="177">
        <v>31</v>
      </c>
      <c r="F248" s="223">
        <v>5.6</v>
      </c>
      <c r="G248" s="177" t="s">
        <v>1214</v>
      </c>
      <c r="H248" s="177" t="s">
        <v>1215</v>
      </c>
    </row>
    <row r="249" spans="1:8">
      <c r="A249" s="177" t="s">
        <v>1041</v>
      </c>
      <c r="B249" s="177">
        <v>207</v>
      </c>
      <c r="C249" s="177">
        <v>113</v>
      </c>
      <c r="D249" s="177">
        <v>25</v>
      </c>
      <c r="E249" s="177">
        <v>50</v>
      </c>
      <c r="F249" s="223">
        <v>19.100000000000001</v>
      </c>
      <c r="G249" s="177" t="s">
        <v>1214</v>
      </c>
      <c r="H249" s="177" t="s">
        <v>1215</v>
      </c>
    </row>
    <row r="250" spans="1:8">
      <c r="A250" s="177" t="s">
        <v>1041</v>
      </c>
      <c r="B250" s="177">
        <v>208</v>
      </c>
      <c r="C250" s="177">
        <v>119</v>
      </c>
      <c r="D250" s="177">
        <v>22</v>
      </c>
      <c r="E250" s="177">
        <v>29</v>
      </c>
      <c r="F250" s="223">
        <v>4.5999999999999996</v>
      </c>
      <c r="G250" s="177" t="s">
        <v>1214</v>
      </c>
      <c r="H250" s="177" t="s">
        <v>1215</v>
      </c>
    </row>
    <row r="251" spans="1:8">
      <c r="A251" s="177" t="s">
        <v>1041</v>
      </c>
      <c r="B251" s="177">
        <v>209</v>
      </c>
      <c r="C251" s="177">
        <v>119</v>
      </c>
      <c r="D251" s="177">
        <v>31</v>
      </c>
      <c r="E251" s="177">
        <v>40</v>
      </c>
      <c r="F251" s="223">
        <v>15.8</v>
      </c>
      <c r="G251" s="177" t="s">
        <v>1214</v>
      </c>
      <c r="H251" s="177" t="s">
        <v>1215</v>
      </c>
    </row>
    <row r="252" spans="1:8">
      <c r="A252" s="177" t="s">
        <v>1041</v>
      </c>
      <c r="B252" s="177">
        <v>210</v>
      </c>
      <c r="C252" s="177">
        <v>119</v>
      </c>
      <c r="D252" s="177">
        <v>33</v>
      </c>
      <c r="E252" s="177">
        <v>41</v>
      </c>
      <c r="F252" s="223">
        <v>9.3000000000000007</v>
      </c>
      <c r="G252" s="177" t="s">
        <v>1214</v>
      </c>
      <c r="H252" s="177" t="s">
        <v>1215</v>
      </c>
    </row>
    <row r="253" spans="1:8">
      <c r="A253" s="177" t="s">
        <v>1041</v>
      </c>
      <c r="B253" s="136">
        <v>4</v>
      </c>
      <c r="C253" s="136">
        <v>156</v>
      </c>
      <c r="D253" s="136">
        <v>31.5</v>
      </c>
      <c r="E253" s="177">
        <v>39.1</v>
      </c>
      <c r="F253" s="137">
        <v>7.98</v>
      </c>
      <c r="G253" s="177" t="s">
        <v>1216</v>
      </c>
    </row>
    <row r="254" spans="1:8">
      <c r="A254" s="177" t="s">
        <v>1041</v>
      </c>
      <c r="B254" s="136">
        <v>2</v>
      </c>
      <c r="C254" s="136">
        <v>165</v>
      </c>
      <c r="D254" s="136">
        <v>33.299999999999997</v>
      </c>
      <c r="E254" s="177">
        <v>56.5</v>
      </c>
      <c r="F254" s="137">
        <v>31.6</v>
      </c>
      <c r="G254" s="177" t="s">
        <v>1216</v>
      </c>
    </row>
    <row r="255" spans="1:8">
      <c r="A255" s="177" t="s">
        <v>1041</v>
      </c>
      <c r="B255" s="136">
        <v>1</v>
      </c>
      <c r="C255" s="136">
        <v>166</v>
      </c>
      <c r="D255" s="136">
        <v>32.5</v>
      </c>
      <c r="E255" s="177">
        <v>76.3</v>
      </c>
      <c r="F255" s="137">
        <v>51.39</v>
      </c>
      <c r="G255" s="177" t="s">
        <v>1216</v>
      </c>
    </row>
    <row r="256" spans="1:8">
      <c r="A256" s="177" t="s">
        <v>1041</v>
      </c>
      <c r="B256" s="136">
        <v>3</v>
      </c>
      <c r="C256" s="136">
        <v>166</v>
      </c>
      <c r="D256" s="136">
        <v>29.5</v>
      </c>
      <c r="E256" s="177">
        <v>47.5</v>
      </c>
      <c r="F256" s="137">
        <v>19.96</v>
      </c>
      <c r="G256" s="177" t="s">
        <v>1216</v>
      </c>
    </row>
    <row r="257" spans="1:7">
      <c r="A257" s="177" t="s">
        <v>1197</v>
      </c>
      <c r="D257" s="177">
        <v>4.0999999999999996</v>
      </c>
      <c r="E257" s="177">
        <v>4.7</v>
      </c>
      <c r="F257" s="223">
        <v>0.76500000000000001</v>
      </c>
      <c r="G257" s="177" t="s">
        <v>1196</v>
      </c>
    </row>
    <row r="258" spans="1:7">
      <c r="A258" s="177" t="s">
        <v>1198</v>
      </c>
      <c r="D258" s="177">
        <v>1.65</v>
      </c>
      <c r="E258" s="177">
        <v>1.1000000000000001</v>
      </c>
      <c r="F258" s="223">
        <v>4.8000000000000001E-2</v>
      </c>
      <c r="G258" s="177" t="s">
        <v>1196</v>
      </c>
    </row>
    <row r="259" spans="1:7">
      <c r="A259" s="177" t="s">
        <v>1199</v>
      </c>
      <c r="D259" s="177">
        <v>8.8000000000000007</v>
      </c>
      <c r="E259" s="177">
        <v>10</v>
      </c>
      <c r="F259" s="223">
        <v>0.95499999999999996</v>
      </c>
      <c r="G259" s="177" t="s">
        <v>1196</v>
      </c>
    </row>
    <row r="260" spans="1:7">
      <c r="A260" s="177" t="s">
        <v>1221</v>
      </c>
      <c r="B260" s="177">
        <v>56</v>
      </c>
      <c r="D260" s="177">
        <v>21.33</v>
      </c>
      <c r="E260" s="177">
        <v>19</v>
      </c>
      <c r="F260" s="223">
        <v>1.609</v>
      </c>
      <c r="G260" s="177" t="s">
        <v>1222</v>
      </c>
    </row>
    <row r="261" spans="1:7">
      <c r="A261" s="177" t="s">
        <v>1221</v>
      </c>
      <c r="B261" s="177">
        <v>102</v>
      </c>
      <c r="D261" s="177">
        <v>24</v>
      </c>
      <c r="E261" s="177">
        <v>21.5</v>
      </c>
      <c r="F261" s="223">
        <v>3.4089999999999998</v>
      </c>
      <c r="G261" s="177" t="s">
        <v>1222</v>
      </c>
    </row>
    <row r="262" spans="1:7">
      <c r="A262" s="177" t="s">
        <v>1221</v>
      </c>
      <c r="B262" s="177">
        <v>80</v>
      </c>
      <c r="D262" s="177">
        <v>22.65</v>
      </c>
      <c r="E262" s="177">
        <v>23.5</v>
      </c>
      <c r="F262" s="223">
        <v>5.2519999999999998</v>
      </c>
      <c r="G262" s="177" t="s">
        <v>1222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42"/>
  <sheetViews>
    <sheetView workbookViewId="0">
      <selection activeCell="D11" sqref="D11"/>
    </sheetView>
  </sheetViews>
  <sheetFormatPr baseColWidth="10" defaultRowHeight="12.75"/>
  <cols>
    <col min="1" max="1" width="4" style="20" customWidth="1"/>
    <col min="2" max="7" width="5.85546875" style="20" customWidth="1"/>
    <col min="8" max="8" width="6" style="20" customWidth="1"/>
    <col min="9" max="9" width="4" style="20" customWidth="1"/>
    <col min="10" max="11" width="5.85546875" style="20" customWidth="1"/>
    <col min="12" max="12" width="5.5703125" style="20" customWidth="1"/>
    <col min="13" max="13" width="5.85546875" style="20" customWidth="1"/>
    <col min="14" max="14" width="5.5703125" style="20" customWidth="1"/>
    <col min="15" max="15" width="5.85546875" style="20" customWidth="1"/>
    <col min="16" max="16" width="6" style="20" customWidth="1"/>
    <col min="17" max="16384" width="11.42578125" style="20"/>
  </cols>
  <sheetData>
    <row r="1" spans="1:16">
      <c r="A1" s="19" t="s">
        <v>1486</v>
      </c>
    </row>
    <row r="2" spans="1:16">
      <c r="A2" s="20" t="s">
        <v>1487</v>
      </c>
    </row>
    <row r="3" spans="1:16">
      <c r="A3" s="21" t="s">
        <v>1652</v>
      </c>
    </row>
    <row r="4" spans="1:16">
      <c r="A4" s="20" t="s">
        <v>1487</v>
      </c>
    </row>
    <row r="5" spans="1:16">
      <c r="A5" s="306" t="s">
        <v>1653</v>
      </c>
      <c r="B5" s="306" t="s">
        <v>1654</v>
      </c>
      <c r="C5" s="306" t="s">
        <v>1655</v>
      </c>
      <c r="D5" s="23" t="s">
        <v>1488</v>
      </c>
      <c r="E5" s="23"/>
      <c r="F5" s="23" t="s">
        <v>1455</v>
      </c>
      <c r="G5" s="23"/>
      <c r="H5" s="100"/>
      <c r="I5" s="308" t="s">
        <v>1653</v>
      </c>
      <c r="J5" s="306" t="s">
        <v>1654</v>
      </c>
      <c r="K5" s="306" t="s">
        <v>1655</v>
      </c>
      <c r="L5" s="23" t="s">
        <v>1488</v>
      </c>
      <c r="M5" s="23"/>
      <c r="N5" s="23" t="s">
        <v>1455</v>
      </c>
      <c r="O5" s="23"/>
      <c r="P5" s="23"/>
    </row>
    <row r="6" spans="1:16" ht="63">
      <c r="A6" s="307"/>
      <c r="B6" s="307"/>
      <c r="C6" s="307"/>
      <c r="D6" s="22" t="s">
        <v>1656</v>
      </c>
      <c r="E6" s="22" t="s">
        <v>1657</v>
      </c>
      <c r="F6" s="22" t="s">
        <v>1658</v>
      </c>
      <c r="G6" s="22" t="s">
        <v>1659</v>
      </c>
      <c r="H6" s="101" t="s">
        <v>1660</v>
      </c>
      <c r="I6" s="309"/>
      <c r="J6" s="307"/>
      <c r="K6" s="307"/>
      <c r="L6" s="22" t="s">
        <v>1656</v>
      </c>
      <c r="M6" s="22" t="s">
        <v>1657</v>
      </c>
      <c r="N6" s="22" t="s">
        <v>1658</v>
      </c>
      <c r="O6" s="22" t="s">
        <v>1659</v>
      </c>
      <c r="P6" s="22" t="s">
        <v>1660</v>
      </c>
    </row>
    <row r="7" spans="1:16">
      <c r="A7" s="302" t="s">
        <v>1489</v>
      </c>
      <c r="B7" s="303"/>
      <c r="C7" s="303"/>
      <c r="D7" s="303"/>
      <c r="E7" s="303"/>
      <c r="F7" s="303"/>
      <c r="G7" s="303"/>
      <c r="H7" s="303"/>
      <c r="I7" s="304" t="s">
        <v>1490</v>
      </c>
      <c r="J7" s="303"/>
      <c r="K7" s="303"/>
      <c r="L7" s="303"/>
      <c r="M7" s="303"/>
      <c r="N7" s="303"/>
      <c r="O7" s="303"/>
      <c r="P7" s="305"/>
    </row>
    <row r="8" spans="1:16">
      <c r="A8" s="24">
        <v>4</v>
      </c>
      <c r="B8" s="24">
        <v>14</v>
      </c>
      <c r="C8" s="24">
        <v>4</v>
      </c>
      <c r="D8" s="24">
        <v>7.5</v>
      </c>
      <c r="E8" s="24">
        <v>2.1</v>
      </c>
      <c r="F8" s="24">
        <v>15</v>
      </c>
      <c r="G8" s="24">
        <v>49</v>
      </c>
      <c r="H8" s="102">
        <v>1.1000000000000001</v>
      </c>
      <c r="I8" s="105">
        <v>4</v>
      </c>
      <c r="J8" s="24">
        <v>15</v>
      </c>
      <c r="K8" s="24">
        <v>4</v>
      </c>
      <c r="L8" s="24">
        <v>7.4</v>
      </c>
      <c r="M8" s="24">
        <v>1.9</v>
      </c>
      <c r="N8" s="24">
        <v>14</v>
      </c>
      <c r="O8" s="24">
        <v>47</v>
      </c>
      <c r="P8" s="24">
        <v>0.9</v>
      </c>
    </row>
    <row r="9" spans="1:16">
      <c r="A9" s="24">
        <v>5</v>
      </c>
      <c r="B9" s="24">
        <v>17</v>
      </c>
      <c r="C9" s="24">
        <v>5</v>
      </c>
      <c r="D9" s="24">
        <v>11.6</v>
      </c>
      <c r="E9" s="24">
        <v>3.1</v>
      </c>
      <c r="F9" s="24">
        <v>13</v>
      </c>
      <c r="G9" s="24">
        <v>47</v>
      </c>
      <c r="H9" s="102">
        <v>1.5</v>
      </c>
      <c r="I9" s="105">
        <v>6</v>
      </c>
      <c r="J9" s="24">
        <v>21</v>
      </c>
      <c r="K9" s="24">
        <v>7</v>
      </c>
      <c r="L9" s="24">
        <v>14.5</v>
      </c>
      <c r="M9" s="24">
        <v>3.5</v>
      </c>
      <c r="N9" s="24">
        <v>10</v>
      </c>
      <c r="O9" s="24">
        <v>43</v>
      </c>
      <c r="P9" s="24">
        <v>1.5</v>
      </c>
    </row>
    <row r="10" spans="1:16">
      <c r="A10" s="24">
        <v>6</v>
      </c>
      <c r="B10" s="24">
        <v>20</v>
      </c>
      <c r="C10" s="24">
        <v>6</v>
      </c>
      <c r="D10" s="24">
        <v>15.6</v>
      </c>
      <c r="E10" s="24">
        <v>4.4000000000000004</v>
      </c>
      <c r="F10" s="24">
        <v>12</v>
      </c>
      <c r="G10" s="24">
        <v>44</v>
      </c>
      <c r="H10" s="102">
        <v>2</v>
      </c>
      <c r="I10" s="105">
        <v>8</v>
      </c>
      <c r="J10" s="24">
        <v>26</v>
      </c>
      <c r="K10" s="24">
        <v>9</v>
      </c>
      <c r="L10" s="24">
        <v>16.8</v>
      </c>
      <c r="M10" s="24">
        <v>5.8</v>
      </c>
      <c r="N10" s="24">
        <v>13</v>
      </c>
      <c r="O10" s="24">
        <v>39</v>
      </c>
      <c r="P10" s="24">
        <v>2.2000000000000002</v>
      </c>
    </row>
    <row r="11" spans="1:16">
      <c r="A11" s="24">
        <v>7</v>
      </c>
      <c r="B11" s="24">
        <v>22</v>
      </c>
      <c r="C11" s="24">
        <v>7</v>
      </c>
      <c r="D11" s="24">
        <v>18.5</v>
      </c>
      <c r="E11" s="24">
        <v>5.9</v>
      </c>
      <c r="F11" s="24">
        <v>13</v>
      </c>
      <c r="G11" s="24">
        <v>42</v>
      </c>
      <c r="H11" s="102">
        <v>2.6</v>
      </c>
      <c r="I11" s="105">
        <v>10</v>
      </c>
      <c r="J11" s="24">
        <v>32</v>
      </c>
      <c r="K11" s="24">
        <v>12</v>
      </c>
      <c r="L11" s="24">
        <v>17.7</v>
      </c>
      <c r="M11" s="24">
        <v>8.1999999999999993</v>
      </c>
      <c r="N11" s="24">
        <v>17</v>
      </c>
      <c r="O11" s="24">
        <v>36</v>
      </c>
      <c r="P11" s="24">
        <v>3</v>
      </c>
    </row>
    <row r="12" spans="1:16">
      <c r="A12" s="24">
        <v>8</v>
      </c>
      <c r="B12" s="24">
        <v>24</v>
      </c>
      <c r="C12" s="24">
        <v>8</v>
      </c>
      <c r="D12" s="24">
        <v>18</v>
      </c>
      <c r="E12" s="24">
        <v>7.6</v>
      </c>
      <c r="F12" s="24">
        <v>17</v>
      </c>
      <c r="G12" s="24">
        <v>40</v>
      </c>
      <c r="H12" s="102">
        <v>3.1</v>
      </c>
      <c r="I12" s="105">
        <v>12</v>
      </c>
      <c r="J12" s="24">
        <v>38</v>
      </c>
      <c r="K12" s="24">
        <v>14</v>
      </c>
      <c r="L12" s="24">
        <v>19</v>
      </c>
      <c r="M12" s="24">
        <v>11</v>
      </c>
      <c r="N12" s="24">
        <v>19</v>
      </c>
      <c r="O12" s="24">
        <v>34</v>
      </c>
      <c r="P12" s="24">
        <v>3.7</v>
      </c>
    </row>
    <row r="13" spans="1:16">
      <c r="A13" s="24">
        <v>9</v>
      </c>
      <c r="B13" s="24">
        <v>26</v>
      </c>
      <c r="C13" s="24">
        <v>9</v>
      </c>
      <c r="D13" s="24">
        <v>18.2</v>
      </c>
      <c r="E13" s="24">
        <v>9.4</v>
      </c>
      <c r="F13" s="24">
        <v>20</v>
      </c>
      <c r="G13" s="24">
        <v>38</v>
      </c>
      <c r="H13" s="102">
        <v>3.7</v>
      </c>
      <c r="I13" s="105">
        <v>14</v>
      </c>
      <c r="J13" s="24">
        <v>44</v>
      </c>
      <c r="K13" s="24">
        <v>16</v>
      </c>
      <c r="L13" s="24">
        <v>22</v>
      </c>
      <c r="M13" s="24">
        <v>14</v>
      </c>
      <c r="N13" s="24">
        <v>21</v>
      </c>
      <c r="O13" s="24">
        <v>33</v>
      </c>
      <c r="P13" s="24">
        <v>45</v>
      </c>
    </row>
    <row r="14" spans="1:16">
      <c r="A14" s="24">
        <v>10</v>
      </c>
      <c r="B14" s="24">
        <v>28</v>
      </c>
      <c r="C14" s="24">
        <v>10</v>
      </c>
      <c r="D14" s="24">
        <v>19.5</v>
      </c>
      <c r="E14" s="24">
        <v>11.5</v>
      </c>
      <c r="F14" s="24">
        <v>22</v>
      </c>
      <c r="G14" s="24">
        <v>37</v>
      </c>
      <c r="H14" s="102">
        <v>4.3</v>
      </c>
      <c r="I14" s="105">
        <v>16</v>
      </c>
      <c r="J14" s="24">
        <v>50</v>
      </c>
      <c r="K14" s="24">
        <v>18</v>
      </c>
      <c r="L14" s="24">
        <v>25</v>
      </c>
      <c r="M14" s="24">
        <v>17</v>
      </c>
      <c r="N14" s="24">
        <v>22</v>
      </c>
      <c r="O14" s="24">
        <v>31</v>
      </c>
      <c r="P14" s="24">
        <v>5.3</v>
      </c>
    </row>
    <row r="15" spans="1:16">
      <c r="A15" s="24">
        <v>12</v>
      </c>
      <c r="B15" s="24">
        <v>33</v>
      </c>
      <c r="C15" s="24">
        <v>13</v>
      </c>
      <c r="D15" s="24">
        <v>23</v>
      </c>
      <c r="E15" s="24">
        <v>16</v>
      </c>
      <c r="F15" s="24">
        <v>24</v>
      </c>
      <c r="G15" s="24">
        <v>35</v>
      </c>
      <c r="H15" s="102">
        <v>5.6</v>
      </c>
      <c r="I15" s="105">
        <v>18</v>
      </c>
      <c r="J15" s="24">
        <v>57</v>
      </c>
      <c r="K15" s="24">
        <v>20</v>
      </c>
      <c r="L15" s="24">
        <v>27</v>
      </c>
      <c r="M15" s="24">
        <v>20</v>
      </c>
      <c r="N15" s="24">
        <v>23</v>
      </c>
      <c r="O15" s="24">
        <v>30</v>
      </c>
      <c r="P15" s="24">
        <v>6.1</v>
      </c>
    </row>
    <row r="16" spans="1:16">
      <c r="A16" s="24">
        <v>14</v>
      </c>
      <c r="B16" s="24">
        <v>37</v>
      </c>
      <c r="C16" s="24">
        <v>15</v>
      </c>
      <c r="D16" s="24">
        <v>27</v>
      </c>
      <c r="E16" s="24">
        <v>20</v>
      </c>
      <c r="F16" s="24">
        <v>26</v>
      </c>
      <c r="G16" s="24">
        <v>34</v>
      </c>
      <c r="H16" s="102">
        <v>7</v>
      </c>
      <c r="I16" s="105">
        <v>20</v>
      </c>
      <c r="J16" s="24">
        <v>64</v>
      </c>
      <c r="K16" s="24">
        <v>22</v>
      </c>
      <c r="L16" s="24">
        <v>30</v>
      </c>
      <c r="M16" s="24">
        <v>23</v>
      </c>
      <c r="N16" s="24">
        <v>23</v>
      </c>
      <c r="O16" s="24">
        <v>30</v>
      </c>
      <c r="P16" s="24">
        <v>6.9</v>
      </c>
    </row>
    <row r="17" spans="1:16">
      <c r="A17" s="24">
        <v>16</v>
      </c>
      <c r="B17" s="24">
        <v>41</v>
      </c>
      <c r="C17" s="24">
        <v>17</v>
      </c>
      <c r="D17" s="24">
        <v>31</v>
      </c>
      <c r="E17" s="24">
        <v>25</v>
      </c>
      <c r="F17" s="24">
        <v>27</v>
      </c>
      <c r="G17" s="24">
        <v>33</v>
      </c>
      <c r="H17" s="102">
        <v>8.5</v>
      </c>
      <c r="I17" s="105">
        <v>22</v>
      </c>
      <c r="J17" s="24">
        <v>71</v>
      </c>
      <c r="K17" s="24">
        <v>23</v>
      </c>
      <c r="L17" s="24">
        <v>33</v>
      </c>
      <c r="M17" s="24">
        <v>27</v>
      </c>
      <c r="N17" s="24">
        <v>24</v>
      </c>
      <c r="O17" s="24">
        <v>29</v>
      </c>
      <c r="P17" s="24">
        <v>7.8</v>
      </c>
    </row>
    <row r="18" spans="1:16">
      <c r="A18" s="24">
        <v>18</v>
      </c>
      <c r="B18" s="24">
        <v>45</v>
      </c>
      <c r="C18" s="24">
        <v>18</v>
      </c>
      <c r="D18" s="24">
        <v>35</v>
      </c>
      <c r="E18" s="24">
        <v>30</v>
      </c>
      <c r="F18" s="24">
        <v>29</v>
      </c>
      <c r="G18" s="24">
        <v>32</v>
      </c>
      <c r="H18" s="102">
        <v>10</v>
      </c>
      <c r="I18" s="105">
        <v>24</v>
      </c>
      <c r="J18" s="24">
        <v>78</v>
      </c>
      <c r="K18" s="24">
        <v>25</v>
      </c>
      <c r="L18" s="24">
        <v>36</v>
      </c>
      <c r="M18" s="24">
        <v>30</v>
      </c>
      <c r="N18" s="24">
        <v>24</v>
      </c>
      <c r="O18" s="24">
        <v>29</v>
      </c>
      <c r="P18" s="24">
        <v>8.6999999999999993</v>
      </c>
    </row>
    <row r="19" spans="1:16">
      <c r="A19" s="24">
        <v>20</v>
      </c>
      <c r="B19" s="24">
        <v>48</v>
      </c>
      <c r="C19" s="24">
        <v>20</v>
      </c>
      <c r="D19" s="24">
        <v>40</v>
      </c>
      <c r="E19" s="24">
        <v>35</v>
      </c>
      <c r="F19" s="24">
        <v>29</v>
      </c>
      <c r="G19" s="24">
        <v>32</v>
      </c>
      <c r="H19" s="102">
        <v>11.6</v>
      </c>
      <c r="I19" s="105">
        <v>26</v>
      </c>
      <c r="J19" s="24">
        <v>86</v>
      </c>
      <c r="K19" s="24">
        <v>26</v>
      </c>
      <c r="L19" s="24">
        <v>39</v>
      </c>
      <c r="M19" s="24">
        <v>34</v>
      </c>
      <c r="N19" s="24">
        <v>24</v>
      </c>
      <c r="O19" s="24">
        <v>28</v>
      </c>
      <c r="P19" s="24">
        <v>9.6</v>
      </c>
    </row>
    <row r="20" spans="1:16">
      <c r="A20" s="24">
        <v>22</v>
      </c>
      <c r="B20" s="24">
        <v>51</v>
      </c>
      <c r="C20" s="24">
        <v>21</v>
      </c>
      <c r="D20" s="24">
        <v>46</v>
      </c>
      <c r="E20" s="24">
        <v>41</v>
      </c>
      <c r="F20" s="24">
        <v>28</v>
      </c>
      <c r="G20" s="24">
        <v>31</v>
      </c>
      <c r="H20" s="102">
        <v>13</v>
      </c>
      <c r="I20" s="105">
        <v>28</v>
      </c>
      <c r="J20" s="24">
        <v>94</v>
      </c>
      <c r="K20" s="24">
        <v>27</v>
      </c>
      <c r="L20" s="24">
        <v>43</v>
      </c>
      <c r="M20" s="24">
        <v>38</v>
      </c>
      <c r="N20" s="24">
        <v>24</v>
      </c>
      <c r="O20" s="24">
        <v>28</v>
      </c>
      <c r="P20" s="24">
        <v>10.6</v>
      </c>
    </row>
    <row r="21" spans="1:16">
      <c r="A21" s="24">
        <v>24</v>
      </c>
      <c r="B21" s="24">
        <v>55</v>
      </c>
      <c r="C21" s="24">
        <v>23</v>
      </c>
      <c r="D21" s="24">
        <v>53</v>
      </c>
      <c r="E21" s="24">
        <v>48</v>
      </c>
      <c r="F21" s="24">
        <v>28</v>
      </c>
      <c r="G21" s="24">
        <v>30</v>
      </c>
      <c r="H21" s="102">
        <v>15</v>
      </c>
      <c r="I21" s="105">
        <v>30</v>
      </c>
      <c r="J21" s="24">
        <v>102</v>
      </c>
      <c r="K21" s="24">
        <v>28</v>
      </c>
      <c r="L21" s="24">
        <v>47</v>
      </c>
      <c r="M21" s="24">
        <v>42</v>
      </c>
      <c r="N21" s="24">
        <v>23</v>
      </c>
      <c r="O21" s="24">
        <v>28</v>
      </c>
      <c r="P21" s="24">
        <v>11.7</v>
      </c>
    </row>
    <row r="22" spans="1:16">
      <c r="A22" s="24">
        <v>26</v>
      </c>
      <c r="B22" s="24">
        <v>58</v>
      </c>
      <c r="C22" s="24">
        <v>24</v>
      </c>
      <c r="D22" s="24">
        <v>60</v>
      </c>
      <c r="E22" s="24">
        <v>55</v>
      </c>
      <c r="F22" s="24">
        <v>28</v>
      </c>
      <c r="G22" s="24">
        <v>30</v>
      </c>
      <c r="H22" s="102">
        <v>17</v>
      </c>
      <c r="I22" s="304" t="s">
        <v>1491</v>
      </c>
      <c r="J22" s="303"/>
      <c r="K22" s="303"/>
      <c r="L22" s="303"/>
      <c r="M22" s="303"/>
      <c r="N22" s="303"/>
      <c r="O22" s="303"/>
      <c r="P22" s="305"/>
    </row>
    <row r="23" spans="1:16">
      <c r="A23" s="24">
        <v>28</v>
      </c>
      <c r="B23" s="24">
        <v>61</v>
      </c>
      <c r="C23" s="24">
        <v>25</v>
      </c>
      <c r="D23" s="24">
        <v>69</v>
      </c>
      <c r="E23" s="24">
        <v>64</v>
      </c>
      <c r="F23" s="24">
        <v>27</v>
      </c>
      <c r="G23" s="24">
        <v>29</v>
      </c>
      <c r="H23" s="102">
        <v>19</v>
      </c>
      <c r="I23" s="105">
        <v>4</v>
      </c>
      <c r="J23" s="24">
        <v>13</v>
      </c>
      <c r="K23" s="24">
        <v>4</v>
      </c>
      <c r="L23" s="24">
        <v>8.1999999999999993</v>
      </c>
      <c r="M23" s="24">
        <v>2.6</v>
      </c>
      <c r="N23" s="24">
        <v>16</v>
      </c>
      <c r="O23" s="24">
        <v>49</v>
      </c>
      <c r="P23" s="24">
        <v>1.3</v>
      </c>
    </row>
    <row r="24" spans="1:16">
      <c r="A24" s="24">
        <v>30</v>
      </c>
      <c r="B24" s="24">
        <v>64</v>
      </c>
      <c r="C24" s="24">
        <v>26</v>
      </c>
      <c r="D24" s="24">
        <v>78</v>
      </c>
      <c r="E24" s="24">
        <v>74</v>
      </c>
      <c r="F24" s="24">
        <v>27</v>
      </c>
      <c r="G24" s="24">
        <v>29</v>
      </c>
      <c r="H24" s="102">
        <v>21</v>
      </c>
      <c r="I24" s="105">
        <v>6</v>
      </c>
      <c r="J24" s="24">
        <v>18</v>
      </c>
      <c r="K24" s="24">
        <v>6</v>
      </c>
      <c r="L24" s="24">
        <v>16.2</v>
      </c>
      <c r="M24" s="24">
        <v>5.2</v>
      </c>
      <c r="N24" s="24">
        <v>13</v>
      </c>
      <c r="O24" s="24">
        <v>44</v>
      </c>
      <c r="P24" s="24">
        <v>2.2999999999999998</v>
      </c>
    </row>
    <row r="25" spans="1:16">
      <c r="A25" s="24">
        <v>32</v>
      </c>
      <c r="B25" s="24">
        <v>67</v>
      </c>
      <c r="C25" s="24">
        <v>26</v>
      </c>
      <c r="D25" s="24">
        <v>88</v>
      </c>
      <c r="E25" s="24">
        <v>84</v>
      </c>
      <c r="F25" s="24">
        <v>27</v>
      </c>
      <c r="G25" s="24">
        <v>28</v>
      </c>
      <c r="H25" s="102">
        <v>23</v>
      </c>
      <c r="I25" s="105">
        <v>8</v>
      </c>
      <c r="J25" s="24">
        <v>22</v>
      </c>
      <c r="K25" s="24">
        <v>8</v>
      </c>
      <c r="L25" s="24">
        <v>18.899999999999999</v>
      </c>
      <c r="M25" s="24">
        <v>9.1999999999999993</v>
      </c>
      <c r="N25" s="24">
        <v>18</v>
      </c>
      <c r="O25" s="24">
        <v>40</v>
      </c>
      <c r="P25" s="24">
        <v>3.6</v>
      </c>
    </row>
    <row r="26" spans="1:16">
      <c r="A26" s="24">
        <v>34</v>
      </c>
      <c r="B26" s="24">
        <v>70</v>
      </c>
      <c r="C26" s="24">
        <v>27</v>
      </c>
      <c r="D26" s="24">
        <v>100</v>
      </c>
      <c r="E26" s="24">
        <v>96</v>
      </c>
      <c r="F26" s="24">
        <v>26</v>
      </c>
      <c r="G26" s="24">
        <v>27</v>
      </c>
      <c r="H26" s="102">
        <v>26</v>
      </c>
      <c r="I26" s="105">
        <v>10</v>
      </c>
      <c r="J26" s="24">
        <v>26</v>
      </c>
      <c r="K26" s="24">
        <v>10</v>
      </c>
      <c r="L26" s="24">
        <v>21.2</v>
      </c>
      <c r="M26" s="24">
        <v>14</v>
      </c>
      <c r="N26" s="24">
        <v>24</v>
      </c>
      <c r="O26" s="24">
        <v>38</v>
      </c>
      <c r="P26" s="24">
        <v>5.2</v>
      </c>
    </row>
    <row r="27" spans="1:16">
      <c r="A27" s="24">
        <v>36</v>
      </c>
      <c r="B27" s="24">
        <v>73</v>
      </c>
      <c r="C27" s="24">
        <v>28</v>
      </c>
      <c r="D27" s="24">
        <v>114</v>
      </c>
      <c r="E27" s="24">
        <v>110</v>
      </c>
      <c r="F27" s="24">
        <v>25</v>
      </c>
      <c r="G27" s="24">
        <v>26</v>
      </c>
      <c r="H27" s="102">
        <v>28</v>
      </c>
      <c r="I27" s="105">
        <v>12</v>
      </c>
      <c r="J27" s="24">
        <v>30</v>
      </c>
      <c r="K27" s="24">
        <v>12</v>
      </c>
      <c r="L27" s="24">
        <v>25</v>
      </c>
      <c r="M27" s="24">
        <v>19</v>
      </c>
      <c r="N27" s="24">
        <v>27</v>
      </c>
      <c r="O27" s="24">
        <v>36</v>
      </c>
      <c r="P27" s="24">
        <v>6.8</v>
      </c>
    </row>
    <row r="28" spans="1:16">
      <c r="A28" s="24">
        <v>38</v>
      </c>
      <c r="B28" s="24">
        <v>77</v>
      </c>
      <c r="C28" s="24">
        <v>29</v>
      </c>
      <c r="D28" s="24">
        <v>133</v>
      </c>
      <c r="E28" s="24">
        <v>129</v>
      </c>
      <c r="F28" s="24">
        <v>24</v>
      </c>
      <c r="G28" s="24">
        <v>25</v>
      </c>
      <c r="H28" s="102">
        <v>31</v>
      </c>
      <c r="I28" s="105">
        <v>14</v>
      </c>
      <c r="J28" s="24">
        <v>34</v>
      </c>
      <c r="K28" s="24">
        <v>14</v>
      </c>
      <c r="L28" s="24">
        <v>31</v>
      </c>
      <c r="M28" s="24">
        <v>25</v>
      </c>
      <c r="N28" s="24">
        <v>28</v>
      </c>
      <c r="O28" s="24">
        <v>34</v>
      </c>
      <c r="P28" s="24">
        <v>8.5</v>
      </c>
    </row>
    <row r="29" spans="1:16">
      <c r="A29" s="24">
        <v>40</v>
      </c>
      <c r="B29" s="24">
        <v>81</v>
      </c>
      <c r="C29" s="24">
        <v>29</v>
      </c>
      <c r="D29" s="24">
        <v>150</v>
      </c>
      <c r="E29" s="24">
        <v>146</v>
      </c>
      <c r="F29" s="24">
        <v>23</v>
      </c>
      <c r="G29" s="24">
        <v>24</v>
      </c>
      <c r="H29" s="102">
        <v>34</v>
      </c>
      <c r="I29" s="105">
        <v>16</v>
      </c>
      <c r="J29" s="24">
        <v>37</v>
      </c>
      <c r="K29" s="24">
        <v>16</v>
      </c>
      <c r="L29" s="24">
        <v>36</v>
      </c>
      <c r="M29" s="24">
        <v>31</v>
      </c>
      <c r="N29" s="24">
        <v>28</v>
      </c>
      <c r="O29" s="24">
        <v>33</v>
      </c>
      <c r="P29" s="24">
        <v>10.199999999999999</v>
      </c>
    </row>
    <row r="30" spans="1:16">
      <c r="A30" s="24">
        <v>42</v>
      </c>
      <c r="B30" s="24">
        <v>86</v>
      </c>
      <c r="C30" s="24">
        <v>30</v>
      </c>
      <c r="D30" s="24">
        <v>170</v>
      </c>
      <c r="E30" s="24">
        <v>166</v>
      </c>
      <c r="F30" s="24">
        <v>22</v>
      </c>
      <c r="G30" s="24">
        <v>23</v>
      </c>
      <c r="H30" s="102">
        <v>37</v>
      </c>
      <c r="I30" s="105">
        <v>18</v>
      </c>
      <c r="J30" s="24">
        <v>41</v>
      </c>
      <c r="K30" s="24">
        <v>17</v>
      </c>
      <c r="L30" s="24">
        <v>42</v>
      </c>
      <c r="M30" s="24">
        <v>37</v>
      </c>
      <c r="N30" s="24">
        <v>29</v>
      </c>
      <c r="O30" s="24">
        <v>33</v>
      </c>
      <c r="P30" s="24">
        <v>12</v>
      </c>
    </row>
    <row r="31" spans="1:16">
      <c r="A31" s="24">
        <v>44</v>
      </c>
      <c r="B31" s="24">
        <v>92</v>
      </c>
      <c r="C31" s="24">
        <v>30</v>
      </c>
      <c r="D31" s="24">
        <v>192</v>
      </c>
      <c r="E31" s="24">
        <v>189</v>
      </c>
      <c r="F31" s="24">
        <v>21</v>
      </c>
      <c r="G31" s="24">
        <v>22</v>
      </c>
      <c r="H31" s="102">
        <v>40</v>
      </c>
      <c r="I31" s="105">
        <v>20</v>
      </c>
      <c r="J31" s="24">
        <v>44</v>
      </c>
      <c r="K31" s="24">
        <v>19</v>
      </c>
      <c r="L31" s="24">
        <v>48</v>
      </c>
      <c r="M31" s="24">
        <v>43</v>
      </c>
      <c r="N31" s="24">
        <v>29</v>
      </c>
      <c r="O31" s="24">
        <v>32</v>
      </c>
      <c r="P31" s="24">
        <v>13.9</v>
      </c>
    </row>
    <row r="32" spans="1:16">
      <c r="A32" s="24">
        <v>46</v>
      </c>
      <c r="B32" s="24">
        <v>98</v>
      </c>
      <c r="C32" s="24">
        <v>30</v>
      </c>
      <c r="D32" s="24">
        <v>216</v>
      </c>
      <c r="E32" s="24">
        <v>213</v>
      </c>
      <c r="F32" s="24">
        <v>20</v>
      </c>
      <c r="G32" s="24">
        <v>21</v>
      </c>
      <c r="H32" s="102">
        <v>43</v>
      </c>
      <c r="I32" s="105">
        <v>22</v>
      </c>
      <c r="J32" s="24">
        <v>47</v>
      </c>
      <c r="K32" s="24">
        <v>20</v>
      </c>
      <c r="L32" s="24">
        <v>54</v>
      </c>
      <c r="M32" s="24">
        <v>49</v>
      </c>
      <c r="N32" s="24">
        <v>29</v>
      </c>
      <c r="O32" s="24">
        <v>32</v>
      </c>
      <c r="P32" s="24">
        <v>15.8</v>
      </c>
    </row>
    <row r="33" spans="1:16">
      <c r="A33" s="24">
        <v>48</v>
      </c>
      <c r="B33" s="24">
        <v>104</v>
      </c>
      <c r="C33" s="24">
        <v>31</v>
      </c>
      <c r="D33" s="24">
        <v>242</v>
      </c>
      <c r="E33" s="24">
        <v>239</v>
      </c>
      <c r="F33" s="24">
        <v>20</v>
      </c>
      <c r="G33" s="24">
        <v>20</v>
      </c>
      <c r="H33" s="102">
        <v>47</v>
      </c>
      <c r="I33" s="105">
        <v>24</v>
      </c>
      <c r="J33" s="24">
        <v>50</v>
      </c>
      <c r="K33" s="24">
        <v>22</v>
      </c>
      <c r="L33" s="24">
        <v>61</v>
      </c>
      <c r="M33" s="24">
        <v>56</v>
      </c>
      <c r="N33" s="24">
        <v>29</v>
      </c>
      <c r="O33" s="24">
        <v>32</v>
      </c>
      <c r="P33" s="24">
        <v>17.8</v>
      </c>
    </row>
    <row r="34" spans="1:16">
      <c r="A34" s="24">
        <v>50</v>
      </c>
      <c r="B34" s="24">
        <v>110</v>
      </c>
      <c r="C34" s="24">
        <v>31</v>
      </c>
      <c r="D34" s="24">
        <v>272</v>
      </c>
      <c r="E34" s="24">
        <v>269</v>
      </c>
      <c r="F34" s="24">
        <v>19</v>
      </c>
      <c r="G34" s="24">
        <v>19</v>
      </c>
      <c r="H34" s="102">
        <v>50</v>
      </c>
      <c r="I34" s="105">
        <v>26</v>
      </c>
      <c r="J34" s="24">
        <v>53</v>
      </c>
      <c r="K34" s="24">
        <v>23</v>
      </c>
      <c r="L34" s="24">
        <v>68</v>
      </c>
      <c r="M34" s="24">
        <v>64</v>
      </c>
      <c r="N34" s="24">
        <v>29</v>
      </c>
      <c r="O34" s="24">
        <v>31</v>
      </c>
      <c r="P34" s="24">
        <v>19.8</v>
      </c>
    </row>
    <row r="35" spans="1:16">
      <c r="A35" s="25"/>
      <c r="B35" s="25"/>
      <c r="C35" s="25"/>
      <c r="D35" s="25"/>
      <c r="E35" s="25"/>
      <c r="F35" s="25"/>
      <c r="G35" s="25"/>
      <c r="H35" s="103"/>
      <c r="I35" s="105">
        <v>28</v>
      </c>
      <c r="J35" s="24">
        <v>56</v>
      </c>
      <c r="K35" s="24">
        <v>24</v>
      </c>
      <c r="L35" s="24">
        <v>76</v>
      </c>
      <c r="M35" s="24">
        <v>72</v>
      </c>
      <c r="N35" s="24">
        <v>28</v>
      </c>
      <c r="O35" s="24">
        <v>30</v>
      </c>
      <c r="P35" s="24">
        <v>21.9</v>
      </c>
    </row>
    <row r="36" spans="1:16">
      <c r="A36" s="26"/>
      <c r="B36" s="26"/>
      <c r="C36" s="26"/>
      <c r="D36" s="26"/>
      <c r="E36" s="26"/>
      <c r="F36" s="26"/>
      <c r="G36" s="26"/>
      <c r="H36" s="104"/>
      <c r="I36" s="106">
        <v>30</v>
      </c>
      <c r="J36" s="27">
        <v>59</v>
      </c>
      <c r="K36" s="27">
        <v>25</v>
      </c>
      <c r="L36" s="27">
        <v>84</v>
      </c>
      <c r="M36" s="27">
        <v>80</v>
      </c>
      <c r="N36" s="27">
        <v>28</v>
      </c>
      <c r="O36" s="27">
        <v>30</v>
      </c>
      <c r="P36" s="27">
        <v>24</v>
      </c>
    </row>
    <row r="37" spans="1:16">
      <c r="A37" s="20" t="s">
        <v>1487</v>
      </c>
    </row>
    <row r="38" spans="1:16" ht="15.75">
      <c r="A38" s="28"/>
    </row>
    <row r="39" spans="1:16" ht="15.75">
      <c r="A39" s="28"/>
    </row>
    <row r="40" spans="1:16" ht="15.75">
      <c r="A40" s="28"/>
    </row>
    <row r="41" spans="1:16" ht="15.75">
      <c r="A41" s="28"/>
    </row>
    <row r="42" spans="1:16">
      <c r="A42" s="20" t="s">
        <v>1487</v>
      </c>
    </row>
  </sheetData>
  <mergeCells count="9">
    <mergeCell ref="A7:H7"/>
    <mergeCell ref="I7:P7"/>
    <mergeCell ref="I22:P22"/>
    <mergeCell ref="A5:A6"/>
    <mergeCell ref="B5:B6"/>
    <mergeCell ref="C5:C6"/>
    <mergeCell ref="I5:I6"/>
    <mergeCell ref="J5:J6"/>
    <mergeCell ref="K5:K6"/>
  </mergeCells>
  <pageMargins left="0.78740157499999996" right="0.78740157499999996" top="0.984251969" bottom="0.984251969" header="0.4921259845" footer="0.4921259845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1"/>
  <dimension ref="A1:Z234"/>
  <sheetViews>
    <sheetView topLeftCell="C1" zoomScale="75" workbookViewId="0">
      <selection activeCell="P38" sqref="P38"/>
    </sheetView>
  </sheetViews>
  <sheetFormatPr baseColWidth="10" defaultRowHeight="12.75"/>
  <cols>
    <col min="1" max="1" width="22.28515625" style="177" customWidth="1"/>
    <col min="2" max="2" width="9" style="177" bestFit="1" customWidth="1"/>
    <col min="3" max="3" width="11.42578125" style="177"/>
    <col min="4" max="4" width="8.28515625" style="177" customWidth="1"/>
    <col min="5" max="5" width="10.5703125" style="177" customWidth="1"/>
    <col min="6" max="6" width="10" style="223" customWidth="1"/>
    <col min="7" max="7" width="10.7109375" style="177" customWidth="1"/>
    <col min="8" max="8" width="10.28515625" style="177" bestFit="1" customWidth="1"/>
    <col min="9" max="9" width="7.28515625" style="177" customWidth="1"/>
    <col min="10" max="10" width="4.140625" style="177" bestFit="1" customWidth="1"/>
    <col min="11" max="12" width="9.140625" style="177" customWidth="1"/>
    <col min="13" max="13" width="14.140625" style="177" customWidth="1"/>
    <col min="14" max="24" width="11.42578125" style="177"/>
    <col min="25" max="25" width="12.28515625" style="177" bestFit="1" customWidth="1"/>
    <col min="26" max="16384" width="11.42578125" style="177"/>
  </cols>
  <sheetData>
    <row r="1" spans="1:26" ht="15.75">
      <c r="A1" s="248" t="s">
        <v>834</v>
      </c>
      <c r="B1" s="248"/>
      <c r="X1" s="177" t="s">
        <v>249</v>
      </c>
      <c r="Y1" s="177">
        <f>859/100</f>
        <v>8.59</v>
      </c>
      <c r="Z1" s="177">
        <f>125/100</f>
        <v>1.25</v>
      </c>
    </row>
    <row r="2" spans="1:26">
      <c r="A2" s="249"/>
      <c r="B2" s="249"/>
      <c r="Y2" s="177">
        <v>6.7000000000000004E-2</v>
      </c>
      <c r="Z2" s="177">
        <v>0.02</v>
      </c>
    </row>
    <row r="3" spans="1:26">
      <c r="A3" s="182"/>
      <c r="B3" s="182"/>
      <c r="Y3" s="177">
        <v>-0.52</v>
      </c>
      <c r="Z3" s="177">
        <v>-0.9</v>
      </c>
    </row>
    <row r="4" spans="1:26" ht="38.25">
      <c r="A4" s="260" t="s">
        <v>1020</v>
      </c>
      <c r="B4" s="260" t="s">
        <v>803</v>
      </c>
      <c r="C4" s="177" t="s">
        <v>1217</v>
      </c>
      <c r="D4" s="261" t="s">
        <v>1218</v>
      </c>
      <c r="E4" s="177" t="s">
        <v>1219</v>
      </c>
      <c r="F4" s="261" t="s">
        <v>1220</v>
      </c>
      <c r="G4" s="177" t="s">
        <v>1187</v>
      </c>
      <c r="H4" s="177" t="s">
        <v>1188</v>
      </c>
      <c r="I4" s="261" t="s">
        <v>836</v>
      </c>
      <c r="J4" s="252"/>
    </row>
    <row r="5" spans="1:26">
      <c r="A5" s="177" t="s">
        <v>1205</v>
      </c>
      <c r="C5" s="177">
        <v>2</v>
      </c>
      <c r="D5" s="177">
        <v>0.1171</v>
      </c>
      <c r="F5" s="223">
        <v>9.7000000000000005E-4</v>
      </c>
      <c r="G5" s="177" t="s">
        <v>1209</v>
      </c>
      <c r="W5" s="177">
        <v>0.1</v>
      </c>
      <c r="Y5" s="177">
        <f>$Y$1/($Y$2+W5^$Y$3)</f>
        <v>2.5426905497345231</v>
      </c>
      <c r="Z5" s="177">
        <f>$Z$1/($Z$2+W5^$Z$3)</f>
        <v>0.15697044830173537</v>
      </c>
    </row>
    <row r="6" spans="1:26">
      <c r="A6" s="177" t="s">
        <v>1206</v>
      </c>
      <c r="C6" s="177">
        <v>2</v>
      </c>
      <c r="D6" s="177">
        <v>0.12280000000000001</v>
      </c>
      <c r="F6" s="223">
        <v>1.2199999999999999E-3</v>
      </c>
      <c r="G6" s="177" t="s">
        <v>1209</v>
      </c>
      <c r="J6" s="252"/>
      <c r="W6" s="177">
        <f>W5+0.1</f>
        <v>0.2</v>
      </c>
      <c r="Y6" s="177">
        <f t="shared" ref="Y6:Y36" si="0">$Y$1/($Y$2+W6^$Y$3)</f>
        <v>3.614992489261927</v>
      </c>
      <c r="Z6" s="177">
        <f t="shared" ref="Z6:Z36" si="1">$Z$1/($Z$2+W6^$Z$3)</f>
        <v>0.29228145842090641</v>
      </c>
    </row>
    <row r="7" spans="1:26">
      <c r="A7" s="177" t="s">
        <v>1207</v>
      </c>
      <c r="C7" s="177">
        <v>2</v>
      </c>
      <c r="D7" s="177">
        <v>0.1159</v>
      </c>
      <c r="F7" s="223">
        <v>9.8999999999999999E-4</v>
      </c>
      <c r="G7" s="177" t="s">
        <v>1209</v>
      </c>
      <c r="J7" s="269"/>
      <c r="W7" s="177">
        <f>W6+0.1</f>
        <v>0.30000000000000004</v>
      </c>
      <c r="Y7" s="177">
        <f t="shared" si="0"/>
        <v>4.4341473016190003</v>
      </c>
      <c r="Z7" s="177">
        <f t="shared" si="1"/>
        <v>0.42013598598889457</v>
      </c>
    </row>
    <row r="8" spans="1:26">
      <c r="A8" s="177" t="s">
        <v>1208</v>
      </c>
      <c r="C8" s="177">
        <v>2</v>
      </c>
      <c r="D8" s="177">
        <v>0.1305</v>
      </c>
      <c r="F8" s="223">
        <v>7.2000000000000005E-4</v>
      </c>
      <c r="G8" s="177" t="s">
        <v>1209</v>
      </c>
      <c r="J8" s="269"/>
      <c r="W8" s="177">
        <f>W7+0.1</f>
        <v>0.4</v>
      </c>
      <c r="Y8" s="177">
        <f t="shared" si="0"/>
        <v>5.1210767478575088</v>
      </c>
      <c r="Z8" s="177">
        <f t="shared" si="1"/>
        <v>0.54321637356607366</v>
      </c>
    </row>
    <row r="9" spans="1:26">
      <c r="A9" s="177" t="s">
        <v>1041</v>
      </c>
      <c r="B9" s="177">
        <v>15</v>
      </c>
      <c r="C9" s="177">
        <v>20</v>
      </c>
      <c r="D9" s="177">
        <v>6.8</v>
      </c>
      <c r="E9" s="177">
        <v>7.8</v>
      </c>
      <c r="F9" s="223">
        <v>2.0699999999999998</v>
      </c>
      <c r="G9" s="177" t="s">
        <v>1214</v>
      </c>
      <c r="H9" s="177" t="s">
        <v>1215</v>
      </c>
      <c r="I9" s="269" t="s">
        <v>1518</v>
      </c>
      <c r="J9" s="269"/>
      <c r="W9" s="177">
        <f>W8+0.1</f>
        <v>0.5</v>
      </c>
      <c r="Y9" s="177">
        <f t="shared" si="0"/>
        <v>5.7230220630198421</v>
      </c>
      <c r="Z9" s="177">
        <f t="shared" si="1"/>
        <v>0.66275517994494859</v>
      </c>
    </row>
    <row r="10" spans="1:26">
      <c r="A10" s="177" t="s">
        <v>1041</v>
      </c>
      <c r="B10" s="177">
        <v>22</v>
      </c>
      <c r="C10" s="177">
        <v>20</v>
      </c>
      <c r="D10" s="177">
        <v>5.8</v>
      </c>
      <c r="E10" s="177">
        <v>6.4</v>
      </c>
      <c r="F10" s="223">
        <v>0.75</v>
      </c>
      <c r="G10" s="177" t="s">
        <v>1214</v>
      </c>
      <c r="H10" s="177" t="s">
        <v>1215</v>
      </c>
      <c r="I10" s="269" t="s">
        <v>1518</v>
      </c>
      <c r="J10" s="269"/>
      <c r="W10" s="177">
        <f>W9+0.5</f>
        <v>1</v>
      </c>
      <c r="Y10" s="177">
        <f t="shared" si="0"/>
        <v>8.0506091846298027</v>
      </c>
      <c r="Z10" s="177">
        <f t="shared" si="1"/>
        <v>1.2254901960784315</v>
      </c>
    </row>
    <row r="11" spans="1:26">
      <c r="A11" s="177" t="s">
        <v>1041</v>
      </c>
      <c r="B11" s="177">
        <v>26</v>
      </c>
      <c r="C11" s="177">
        <v>20</v>
      </c>
      <c r="D11" s="177">
        <v>6.1</v>
      </c>
      <c r="E11" s="177">
        <v>6.4</v>
      </c>
      <c r="F11" s="223">
        <v>1.18</v>
      </c>
      <c r="G11" s="177" t="s">
        <v>1214</v>
      </c>
      <c r="H11" s="177" t="s">
        <v>1215</v>
      </c>
      <c r="I11" s="269" t="s">
        <v>1518</v>
      </c>
      <c r="J11" s="269"/>
      <c r="W11" s="177">
        <f t="shared" ref="W11:W18" si="2">W10+0.5</f>
        <v>1.5</v>
      </c>
      <c r="Y11" s="177">
        <f t="shared" si="0"/>
        <v>9.7958479404689314</v>
      </c>
      <c r="Z11" s="177">
        <f t="shared" si="1"/>
        <v>1.7500797551136844</v>
      </c>
    </row>
    <row r="12" spans="1:26">
      <c r="A12" s="177" t="s">
        <v>1041</v>
      </c>
      <c r="B12" s="177">
        <v>27</v>
      </c>
      <c r="C12" s="177">
        <v>20</v>
      </c>
      <c r="D12" s="177">
        <v>6.6</v>
      </c>
      <c r="E12" s="177">
        <v>8</v>
      </c>
      <c r="F12" s="223">
        <v>1.4</v>
      </c>
      <c r="G12" s="177" t="s">
        <v>1214</v>
      </c>
      <c r="H12" s="177" t="s">
        <v>1215</v>
      </c>
      <c r="I12" s="269" t="s">
        <v>1518</v>
      </c>
      <c r="J12" s="269"/>
      <c r="W12" s="177">
        <f t="shared" si="2"/>
        <v>2</v>
      </c>
      <c r="Y12" s="177">
        <f t="shared" si="0"/>
        <v>11.237986052307965</v>
      </c>
      <c r="Z12" s="177">
        <f t="shared" si="1"/>
        <v>2.2486595374355671</v>
      </c>
    </row>
    <row r="13" spans="1:26">
      <c r="A13" s="177" t="s">
        <v>1041</v>
      </c>
      <c r="B13" s="177">
        <v>31</v>
      </c>
      <c r="C13" s="177">
        <v>20</v>
      </c>
      <c r="D13" s="177">
        <v>7.6</v>
      </c>
      <c r="E13" s="177">
        <v>7.7</v>
      </c>
      <c r="F13" s="223">
        <v>1.49</v>
      </c>
      <c r="G13" s="177" t="s">
        <v>1214</v>
      </c>
      <c r="H13" s="177" t="s">
        <v>1215</v>
      </c>
      <c r="I13" s="269" t="s">
        <v>1518</v>
      </c>
      <c r="J13" s="269"/>
      <c r="W13" s="177">
        <f t="shared" si="2"/>
        <v>2.5</v>
      </c>
      <c r="Y13" s="177">
        <f t="shared" si="0"/>
        <v>12.485994611089934</v>
      </c>
      <c r="Z13" s="177">
        <f t="shared" si="1"/>
        <v>2.7269754935635167</v>
      </c>
    </row>
    <row r="14" spans="1:26">
      <c r="A14" s="177" t="s">
        <v>1041</v>
      </c>
      <c r="B14" s="177">
        <v>34</v>
      </c>
      <c r="C14" s="177">
        <v>20</v>
      </c>
      <c r="D14" s="177">
        <v>8</v>
      </c>
      <c r="E14" s="177">
        <v>5.2</v>
      </c>
      <c r="F14" s="223">
        <v>0.56000000000000005</v>
      </c>
      <c r="G14" s="177" t="s">
        <v>1214</v>
      </c>
      <c r="H14" s="177" t="s">
        <v>1215</v>
      </c>
      <c r="I14" s="269" t="s">
        <v>1518</v>
      </c>
      <c r="J14" s="269"/>
      <c r="W14" s="177">
        <f t="shared" si="2"/>
        <v>3</v>
      </c>
      <c r="Y14" s="177">
        <f t="shared" si="0"/>
        <v>13.596011472386765</v>
      </c>
      <c r="Z14" s="177">
        <f t="shared" si="1"/>
        <v>3.1884415533945578</v>
      </c>
    </row>
    <row r="15" spans="1:26">
      <c r="A15" s="177" t="s">
        <v>1041</v>
      </c>
      <c r="B15" s="177">
        <v>39</v>
      </c>
      <c r="C15" s="177">
        <v>20</v>
      </c>
      <c r="D15" s="177">
        <v>4.5</v>
      </c>
      <c r="E15" s="177">
        <v>4.5999999999999996</v>
      </c>
      <c r="F15" s="223">
        <v>0.38</v>
      </c>
      <c r="G15" s="177" t="s">
        <v>1214</v>
      </c>
      <c r="H15" s="177" t="s">
        <v>1215</v>
      </c>
      <c r="I15" s="269" t="s">
        <v>1518</v>
      </c>
      <c r="J15" s="269"/>
      <c r="W15" s="177">
        <f t="shared" si="2"/>
        <v>3.5</v>
      </c>
      <c r="Y15" s="177">
        <f t="shared" si="0"/>
        <v>14.601486439979839</v>
      </c>
      <c r="Z15" s="177">
        <f t="shared" si="1"/>
        <v>3.635346625628411</v>
      </c>
    </row>
    <row r="16" spans="1:26">
      <c r="A16" s="177" t="s">
        <v>1041</v>
      </c>
      <c r="B16" s="177">
        <v>40</v>
      </c>
      <c r="C16" s="177">
        <v>20</v>
      </c>
      <c r="D16" s="177">
        <v>5.4</v>
      </c>
      <c r="E16" s="177">
        <v>5.5</v>
      </c>
      <c r="F16" s="223">
        <v>0.59</v>
      </c>
      <c r="G16" s="177" t="s">
        <v>1214</v>
      </c>
      <c r="H16" s="177" t="s">
        <v>1215</v>
      </c>
      <c r="I16" s="269" t="s">
        <v>1518</v>
      </c>
      <c r="J16" s="269"/>
      <c r="W16" s="177">
        <f t="shared" si="2"/>
        <v>4</v>
      </c>
      <c r="Y16" s="177">
        <f t="shared" si="0"/>
        <v>15.524260782615533</v>
      </c>
      <c r="Z16" s="177">
        <f t="shared" si="1"/>
        <v>4.0693470286383393</v>
      </c>
    </row>
    <row r="17" spans="1:26">
      <c r="A17" s="177" t="s">
        <v>1041</v>
      </c>
      <c r="B17" s="177">
        <v>44</v>
      </c>
      <c r="C17" s="177">
        <v>20</v>
      </c>
      <c r="D17" s="177">
        <v>5.9</v>
      </c>
      <c r="E17" s="177">
        <v>7.3</v>
      </c>
      <c r="F17" s="223">
        <v>0.99</v>
      </c>
      <c r="G17" s="177" t="s">
        <v>1214</v>
      </c>
      <c r="H17" s="177" t="s">
        <v>1215</v>
      </c>
      <c r="I17" s="269" t="s">
        <v>1518</v>
      </c>
      <c r="J17" s="269"/>
      <c r="W17" s="177">
        <f t="shared" si="2"/>
        <v>4.5</v>
      </c>
      <c r="Y17" s="177">
        <f t="shared" si="0"/>
        <v>16.379528907675056</v>
      </c>
      <c r="Z17" s="177">
        <f t="shared" si="1"/>
        <v>4.4917062790972109</v>
      </c>
    </row>
    <row r="18" spans="1:26">
      <c r="A18" s="177" t="s">
        <v>1041</v>
      </c>
      <c r="B18" s="177">
        <v>48</v>
      </c>
      <c r="C18" s="177">
        <v>20</v>
      </c>
      <c r="D18" s="177">
        <v>6.8</v>
      </c>
      <c r="E18" s="177">
        <v>8.6999999999999993</v>
      </c>
      <c r="F18" s="223">
        <v>2.13</v>
      </c>
      <c r="G18" s="177" t="s">
        <v>1214</v>
      </c>
      <c r="H18" s="177" t="s">
        <v>1215</v>
      </c>
      <c r="I18" s="269" t="s">
        <v>1518</v>
      </c>
      <c r="J18" s="269"/>
      <c r="W18" s="177">
        <f t="shared" si="2"/>
        <v>5</v>
      </c>
      <c r="Y18" s="177">
        <f t="shared" si="0"/>
        <v>17.178365931217829</v>
      </c>
      <c r="Z18" s="177">
        <f t="shared" si="1"/>
        <v>4.9034262623291376</v>
      </c>
    </row>
    <row r="19" spans="1:26">
      <c r="A19" s="177" t="s">
        <v>1041</v>
      </c>
      <c r="B19" s="177">
        <v>52</v>
      </c>
      <c r="C19" s="177">
        <v>21</v>
      </c>
      <c r="D19" s="177">
        <v>5.8</v>
      </c>
      <c r="E19" s="177">
        <v>5.0999999999999996</v>
      </c>
      <c r="F19" s="223">
        <v>0.45</v>
      </c>
      <c r="G19" s="177" t="s">
        <v>1214</v>
      </c>
      <c r="H19" s="177" t="s">
        <v>1215</v>
      </c>
      <c r="I19" s="269" t="s">
        <v>1518</v>
      </c>
      <c r="J19" s="269"/>
      <c r="W19" s="177">
        <f>W18+1</f>
        <v>6</v>
      </c>
      <c r="Y19" s="177">
        <f t="shared" si="0"/>
        <v>18.638351854288537</v>
      </c>
      <c r="Z19" s="177">
        <f t="shared" si="1"/>
        <v>5.6980870887616906</v>
      </c>
    </row>
    <row r="20" spans="1:26">
      <c r="A20" s="177" t="s">
        <v>1041</v>
      </c>
      <c r="B20" s="177">
        <v>53</v>
      </c>
      <c r="C20" s="177">
        <v>21</v>
      </c>
      <c r="D20" s="177">
        <v>7</v>
      </c>
      <c r="E20" s="177">
        <v>5.2</v>
      </c>
      <c r="F20" s="223">
        <v>0.4</v>
      </c>
      <c r="G20" s="177" t="s">
        <v>1214</v>
      </c>
      <c r="H20" s="177" t="s">
        <v>1215</v>
      </c>
      <c r="I20" s="269" t="s">
        <v>1518</v>
      </c>
      <c r="J20" s="269"/>
      <c r="W20" s="177">
        <f>W19+1</f>
        <v>7</v>
      </c>
      <c r="Y20" s="177">
        <f t="shared" si="0"/>
        <v>19.951812076744798</v>
      </c>
      <c r="Z20" s="177">
        <f t="shared" si="1"/>
        <v>6.4584509132440679</v>
      </c>
    </row>
    <row r="21" spans="1:26">
      <c r="A21" s="177" t="s">
        <v>1041</v>
      </c>
      <c r="B21" s="177">
        <v>55</v>
      </c>
      <c r="C21" s="177">
        <v>21</v>
      </c>
      <c r="D21" s="177">
        <v>7.2</v>
      </c>
      <c r="E21" s="177">
        <v>5.9</v>
      </c>
      <c r="F21" s="223">
        <v>0.93</v>
      </c>
      <c r="G21" s="177" t="s">
        <v>1214</v>
      </c>
      <c r="H21" s="177" t="s">
        <v>1215</v>
      </c>
      <c r="I21" s="269" t="s">
        <v>1518</v>
      </c>
      <c r="J21" s="269"/>
      <c r="W21" s="177">
        <f>W20+1</f>
        <v>8</v>
      </c>
      <c r="Y21" s="177">
        <f t="shared" si="0"/>
        <v>21.149765157883788</v>
      </c>
      <c r="Z21" s="177">
        <f t="shared" si="1"/>
        <v>7.1883263190164772</v>
      </c>
    </row>
    <row r="22" spans="1:26">
      <c r="A22" s="177" t="s">
        <v>1041</v>
      </c>
      <c r="B22" s="177">
        <v>57</v>
      </c>
      <c r="C22" s="177">
        <v>21</v>
      </c>
      <c r="D22" s="177">
        <v>8.5</v>
      </c>
      <c r="E22" s="177">
        <v>8</v>
      </c>
      <c r="F22" s="223">
        <v>1.57</v>
      </c>
      <c r="G22" s="177" t="s">
        <v>1214</v>
      </c>
      <c r="H22" s="177" t="s">
        <v>1215</v>
      </c>
      <c r="I22" s="269" t="s">
        <v>1518</v>
      </c>
      <c r="J22" s="269"/>
      <c r="W22" s="177">
        <f>W21+1</f>
        <v>9</v>
      </c>
      <c r="Y22" s="177">
        <f t="shared" si="0"/>
        <v>22.253749989958362</v>
      </c>
      <c r="Z22" s="177">
        <f t="shared" si="1"/>
        <v>7.8906893912492615</v>
      </c>
    </row>
    <row r="23" spans="1:26">
      <c r="A23" s="177" t="s">
        <v>1041</v>
      </c>
      <c r="B23" s="177">
        <v>58</v>
      </c>
      <c r="C23" s="177">
        <v>21</v>
      </c>
      <c r="D23" s="177">
        <v>7.9</v>
      </c>
      <c r="E23" s="177">
        <v>8.4</v>
      </c>
      <c r="F23" s="223">
        <v>1.34</v>
      </c>
      <c r="G23" s="177" t="s">
        <v>1214</v>
      </c>
      <c r="H23" s="177" t="s">
        <v>1215</v>
      </c>
      <c r="I23" s="269" t="s">
        <v>1518</v>
      </c>
      <c r="J23" s="269"/>
      <c r="W23" s="177">
        <f>W22+1</f>
        <v>10</v>
      </c>
      <c r="Y23" s="177">
        <f t="shared" si="0"/>
        <v>23.279437377202676</v>
      </c>
      <c r="Z23" s="177">
        <f t="shared" si="1"/>
        <v>8.5679500123503018</v>
      </c>
    </row>
    <row r="24" spans="1:26">
      <c r="A24" s="177" t="s">
        <v>1041</v>
      </c>
      <c r="B24" s="177">
        <v>59</v>
      </c>
      <c r="C24" s="177">
        <v>21</v>
      </c>
      <c r="D24" s="177">
        <v>7.8</v>
      </c>
      <c r="E24" s="177">
        <v>6.3</v>
      </c>
      <c r="F24" s="223">
        <v>1.02</v>
      </c>
      <c r="G24" s="177" t="s">
        <v>1214</v>
      </c>
      <c r="H24" s="177" t="s">
        <v>1215</v>
      </c>
      <c r="I24" s="269" t="s">
        <v>1518</v>
      </c>
      <c r="J24" s="269"/>
      <c r="W24" s="177">
        <f t="shared" ref="W24:W29" si="3">W23+2.5</f>
        <v>12.5</v>
      </c>
      <c r="Y24" s="177">
        <f t="shared" si="0"/>
        <v>25.57233343759108</v>
      </c>
      <c r="Z24" s="177">
        <f t="shared" si="1"/>
        <v>10.163703645529852</v>
      </c>
    </row>
    <row r="25" spans="1:26">
      <c r="A25" s="177" t="s">
        <v>1041</v>
      </c>
      <c r="B25" s="177">
        <v>61</v>
      </c>
      <c r="C25" s="177">
        <v>21</v>
      </c>
      <c r="D25" s="177">
        <v>8.6</v>
      </c>
      <c r="E25" s="177">
        <v>8</v>
      </c>
      <c r="F25" s="223">
        <v>1.61</v>
      </c>
      <c r="G25" s="177" t="s">
        <v>1214</v>
      </c>
      <c r="H25" s="177" t="s">
        <v>1215</v>
      </c>
      <c r="I25" s="269" t="s">
        <v>1518</v>
      </c>
      <c r="J25" s="269"/>
      <c r="W25" s="177">
        <f t="shared" si="3"/>
        <v>15</v>
      </c>
      <c r="Y25" s="177">
        <f t="shared" si="0"/>
        <v>27.56858536370634</v>
      </c>
      <c r="Z25" s="177">
        <f t="shared" si="1"/>
        <v>11.638593384939822</v>
      </c>
    </row>
    <row r="26" spans="1:26">
      <c r="A26" s="177" t="s">
        <v>1041</v>
      </c>
      <c r="B26" s="177">
        <v>67</v>
      </c>
      <c r="C26" s="177">
        <v>24</v>
      </c>
      <c r="D26" s="177">
        <v>6.4</v>
      </c>
      <c r="E26" s="177">
        <v>4.8</v>
      </c>
      <c r="F26" s="223">
        <v>0.33</v>
      </c>
      <c r="G26" s="177" t="s">
        <v>1214</v>
      </c>
      <c r="H26" s="177" t="s">
        <v>1215</v>
      </c>
      <c r="I26" s="269" t="s">
        <v>1518</v>
      </c>
      <c r="J26" s="269"/>
      <c r="W26" s="177">
        <f t="shared" si="3"/>
        <v>17.5</v>
      </c>
      <c r="Y26" s="177">
        <f t="shared" si="0"/>
        <v>29.342835421565425</v>
      </c>
      <c r="Z26" s="177">
        <f t="shared" si="1"/>
        <v>13.010104294551715</v>
      </c>
    </row>
    <row r="27" spans="1:26">
      <c r="A27" s="177" t="s">
        <v>1041</v>
      </c>
      <c r="B27" s="177">
        <v>70</v>
      </c>
      <c r="C27" s="177">
        <v>24</v>
      </c>
      <c r="D27" s="177">
        <v>9.4</v>
      </c>
      <c r="E27" s="177">
        <v>6.2</v>
      </c>
      <c r="F27" s="223">
        <v>0.42</v>
      </c>
      <c r="G27" s="177" t="s">
        <v>1214</v>
      </c>
      <c r="H27" s="177" t="s">
        <v>1215</v>
      </c>
      <c r="I27" s="269" t="s">
        <v>1518</v>
      </c>
      <c r="J27" s="269"/>
      <c r="W27" s="177">
        <f t="shared" si="3"/>
        <v>20</v>
      </c>
      <c r="Y27" s="177">
        <f t="shared" si="0"/>
        <v>30.943477797614296</v>
      </c>
      <c r="Z27" s="177">
        <f t="shared" si="1"/>
        <v>14.291570990505297</v>
      </c>
    </row>
    <row r="28" spans="1:26">
      <c r="A28" s="177" t="s">
        <v>1041</v>
      </c>
      <c r="B28" s="177">
        <v>73</v>
      </c>
      <c r="C28" s="177">
        <v>24</v>
      </c>
      <c r="D28" s="177">
        <v>11</v>
      </c>
      <c r="E28" s="177">
        <v>8.6</v>
      </c>
      <c r="F28" s="223">
        <v>0.47</v>
      </c>
      <c r="G28" s="177" t="s">
        <v>1214</v>
      </c>
      <c r="H28" s="177" t="s">
        <v>1215</v>
      </c>
      <c r="I28" s="269" t="s">
        <v>1518</v>
      </c>
      <c r="J28" s="269"/>
      <c r="W28" s="177">
        <f t="shared" si="3"/>
        <v>22.5</v>
      </c>
      <c r="Y28" s="177">
        <f t="shared" si="0"/>
        <v>32.403947638120691</v>
      </c>
      <c r="Z28" s="177">
        <f t="shared" si="1"/>
        <v>15.493570869043118</v>
      </c>
    </row>
    <row r="29" spans="1:26">
      <c r="A29" s="177" t="s">
        <v>1041</v>
      </c>
      <c r="B29" s="177">
        <v>78</v>
      </c>
      <c r="C29" s="177">
        <v>25</v>
      </c>
      <c r="D29" s="177">
        <v>9.1</v>
      </c>
      <c r="E29" s="177">
        <v>7.2</v>
      </c>
      <c r="F29" s="223">
        <v>0.9</v>
      </c>
      <c r="G29" s="177" t="s">
        <v>1214</v>
      </c>
      <c r="H29" s="177" t="s">
        <v>1215</v>
      </c>
      <c r="I29" s="269" t="s">
        <v>1518</v>
      </c>
      <c r="J29" s="269"/>
      <c r="W29" s="177">
        <f t="shared" si="3"/>
        <v>25</v>
      </c>
      <c r="Y29" s="177">
        <f t="shared" si="0"/>
        <v>33.748452287674148</v>
      </c>
      <c r="Z29" s="177">
        <f t="shared" si="1"/>
        <v>16.62473101355846</v>
      </c>
    </row>
    <row r="30" spans="1:26">
      <c r="A30" s="177" t="s">
        <v>1041</v>
      </c>
      <c r="B30" s="177">
        <v>83</v>
      </c>
      <c r="C30" s="177">
        <v>26</v>
      </c>
      <c r="D30" s="177">
        <v>9</v>
      </c>
      <c r="E30" s="177">
        <v>9.1999999999999993</v>
      </c>
      <c r="F30" s="223">
        <v>0.62</v>
      </c>
      <c r="G30" s="177" t="s">
        <v>1214</v>
      </c>
      <c r="H30" s="177" t="s">
        <v>1215</v>
      </c>
      <c r="I30" s="269" t="s">
        <v>1518</v>
      </c>
      <c r="J30" s="269"/>
      <c r="W30" s="177">
        <f>W29+5</f>
        <v>30</v>
      </c>
      <c r="Y30" s="177">
        <f t="shared" si="0"/>
        <v>36.158104866986996</v>
      </c>
      <c r="Z30" s="177">
        <f t="shared" si="1"/>
        <v>18.702161493465155</v>
      </c>
    </row>
    <row r="31" spans="1:26">
      <c r="A31" s="177" t="s">
        <v>1041</v>
      </c>
      <c r="B31" s="177">
        <v>87</v>
      </c>
      <c r="C31" s="177">
        <v>28</v>
      </c>
      <c r="D31" s="177">
        <v>8.4</v>
      </c>
      <c r="E31" s="177">
        <v>6</v>
      </c>
      <c r="F31" s="223">
        <v>0.21</v>
      </c>
      <c r="G31" s="177" t="s">
        <v>1214</v>
      </c>
      <c r="H31" s="177" t="s">
        <v>1215</v>
      </c>
      <c r="I31" s="269" t="s">
        <v>1518</v>
      </c>
      <c r="J31" s="269"/>
      <c r="W31" s="177">
        <f t="shared" ref="W31:W36" si="4">W30+5</f>
        <v>35</v>
      </c>
      <c r="Y31" s="177">
        <f t="shared" si="0"/>
        <v>38.274918405710224</v>
      </c>
      <c r="Z31" s="177">
        <f t="shared" si="1"/>
        <v>20.569421886607355</v>
      </c>
    </row>
    <row r="32" spans="1:26">
      <c r="A32" s="177" t="s">
        <v>1041</v>
      </c>
      <c r="B32" s="177">
        <v>90</v>
      </c>
      <c r="C32" s="177">
        <v>28</v>
      </c>
      <c r="D32" s="177">
        <v>11.8</v>
      </c>
      <c r="E32" s="177">
        <v>8.4</v>
      </c>
      <c r="F32" s="223">
        <v>0.56000000000000005</v>
      </c>
      <c r="G32" s="177" t="s">
        <v>1214</v>
      </c>
      <c r="H32" s="177" t="s">
        <v>1215</v>
      </c>
      <c r="I32" s="269" t="s">
        <v>1518</v>
      </c>
      <c r="J32" s="269"/>
      <c r="W32" s="177">
        <f t="shared" si="4"/>
        <v>40</v>
      </c>
      <c r="Y32" s="177">
        <f t="shared" si="0"/>
        <v>40.164858444869665</v>
      </c>
      <c r="Z32" s="177">
        <f t="shared" si="1"/>
        <v>22.260554406268156</v>
      </c>
    </row>
    <row r="33" spans="1:26">
      <c r="A33" s="177" t="s">
        <v>1041</v>
      </c>
      <c r="B33" s="177">
        <v>93</v>
      </c>
      <c r="C33" s="177">
        <v>28</v>
      </c>
      <c r="D33" s="177">
        <v>13.4</v>
      </c>
      <c r="E33" s="177">
        <v>11.2</v>
      </c>
      <c r="F33" s="223">
        <v>0.64</v>
      </c>
      <c r="G33" s="177" t="s">
        <v>1214</v>
      </c>
      <c r="H33" s="177" t="s">
        <v>1215</v>
      </c>
      <c r="I33" s="269" t="s">
        <v>1518</v>
      </c>
      <c r="J33" s="269"/>
      <c r="W33" s="177">
        <f t="shared" si="4"/>
        <v>45</v>
      </c>
      <c r="Y33" s="177">
        <f t="shared" si="0"/>
        <v>41.873190310453431</v>
      </c>
      <c r="Z33" s="177">
        <f t="shared" si="1"/>
        <v>23.801875376213879</v>
      </c>
    </row>
    <row r="34" spans="1:26">
      <c r="A34" s="177" t="s">
        <v>1041</v>
      </c>
      <c r="B34" s="177">
        <v>96</v>
      </c>
      <c r="C34" s="177">
        <v>32</v>
      </c>
      <c r="D34" s="177">
        <v>9</v>
      </c>
      <c r="E34" s="177">
        <v>9</v>
      </c>
      <c r="F34" s="223">
        <v>1.4</v>
      </c>
      <c r="G34" s="177" t="s">
        <v>1214</v>
      </c>
      <c r="H34" s="177" t="s">
        <v>1215</v>
      </c>
      <c r="I34" s="269" t="s">
        <v>1518</v>
      </c>
      <c r="J34" s="269"/>
      <c r="W34" s="177">
        <f t="shared" si="4"/>
        <v>50</v>
      </c>
      <c r="Y34" s="177">
        <f t="shared" si="0"/>
        <v>43.432475532128066</v>
      </c>
      <c r="Z34" s="177">
        <f t="shared" si="1"/>
        <v>25.214244053732706</v>
      </c>
    </row>
    <row r="35" spans="1:26">
      <c r="A35" s="177" t="s">
        <v>1041</v>
      </c>
      <c r="B35" s="177">
        <v>100</v>
      </c>
      <c r="C35" s="177">
        <v>32</v>
      </c>
      <c r="D35" s="177">
        <v>11</v>
      </c>
      <c r="E35" s="177">
        <v>12</v>
      </c>
      <c r="F35" s="223">
        <v>1.7</v>
      </c>
      <c r="G35" s="177" t="s">
        <v>1214</v>
      </c>
      <c r="H35" s="177" t="s">
        <v>1215</v>
      </c>
      <c r="I35" s="269" t="s">
        <v>1518</v>
      </c>
      <c r="J35" s="269"/>
      <c r="W35" s="177">
        <f t="shared" si="4"/>
        <v>55</v>
      </c>
      <c r="Y35" s="177">
        <f t="shared" si="0"/>
        <v>44.867003655135548</v>
      </c>
      <c r="Z35" s="177">
        <f t="shared" si="1"/>
        <v>26.514518131087605</v>
      </c>
    </row>
    <row r="36" spans="1:26">
      <c r="A36" s="177" t="s">
        <v>1041</v>
      </c>
      <c r="B36" s="177">
        <v>108</v>
      </c>
      <c r="C36" s="177">
        <v>32</v>
      </c>
      <c r="D36" s="177">
        <v>11</v>
      </c>
      <c r="E36" s="177">
        <v>10</v>
      </c>
      <c r="F36" s="223">
        <v>1.5</v>
      </c>
      <c r="G36" s="177" t="s">
        <v>1214</v>
      </c>
      <c r="H36" s="177" t="s">
        <v>1215</v>
      </c>
      <c r="I36" s="269" t="s">
        <v>1518</v>
      </c>
      <c r="J36" s="269"/>
      <c r="W36" s="177">
        <f t="shared" si="4"/>
        <v>60</v>
      </c>
      <c r="Y36" s="177">
        <f t="shared" si="0"/>
        <v>46.195424466230719</v>
      </c>
      <c r="Z36" s="177">
        <f t="shared" si="1"/>
        <v>27.716535991054847</v>
      </c>
    </row>
    <row r="37" spans="1:26">
      <c r="A37" s="177" t="s">
        <v>1041</v>
      </c>
      <c r="B37" s="177">
        <v>112</v>
      </c>
      <c r="C37" s="177">
        <v>32</v>
      </c>
      <c r="D37" s="177">
        <v>8</v>
      </c>
      <c r="E37" s="177">
        <v>9</v>
      </c>
      <c r="F37" s="223">
        <v>1</v>
      </c>
      <c r="G37" s="177" t="s">
        <v>1214</v>
      </c>
      <c r="H37" s="177" t="s">
        <v>1215</v>
      </c>
      <c r="I37" s="269" t="s">
        <v>1518</v>
      </c>
      <c r="J37" s="269"/>
    </row>
    <row r="38" spans="1:26">
      <c r="A38" s="177" t="s">
        <v>1041</v>
      </c>
      <c r="B38" s="177">
        <v>116</v>
      </c>
      <c r="C38" s="177">
        <v>32</v>
      </c>
      <c r="D38" s="177">
        <v>9</v>
      </c>
      <c r="E38" s="177">
        <v>8</v>
      </c>
      <c r="F38" s="223">
        <v>0.9</v>
      </c>
      <c r="G38" s="177" t="s">
        <v>1214</v>
      </c>
      <c r="H38" s="177" t="s">
        <v>1215</v>
      </c>
      <c r="I38" s="269" t="s">
        <v>1518</v>
      </c>
      <c r="J38" s="269"/>
    </row>
    <row r="39" spans="1:26">
      <c r="A39" s="177" t="s">
        <v>1041</v>
      </c>
      <c r="B39" s="177">
        <v>120</v>
      </c>
      <c r="C39" s="177">
        <v>32</v>
      </c>
      <c r="D39" s="177">
        <v>11</v>
      </c>
      <c r="E39" s="177">
        <v>8</v>
      </c>
      <c r="F39" s="223">
        <v>0.6</v>
      </c>
      <c r="G39" s="177" t="s">
        <v>1214</v>
      </c>
      <c r="H39" s="177" t="s">
        <v>1215</v>
      </c>
      <c r="I39" s="269" t="s">
        <v>1518</v>
      </c>
      <c r="J39" s="269"/>
      <c r="W39" s="177" t="s">
        <v>249</v>
      </c>
      <c r="X39" s="177">
        <v>2.0643217196644135</v>
      </c>
      <c r="Y39" s="177">
        <v>2.1194938424008356</v>
      </c>
    </row>
    <row r="40" spans="1:26">
      <c r="A40" s="177" t="s">
        <v>1041</v>
      </c>
      <c r="B40" s="177">
        <v>125</v>
      </c>
      <c r="C40" s="177">
        <v>32</v>
      </c>
      <c r="D40" s="177">
        <v>16</v>
      </c>
      <c r="E40" s="177">
        <v>14</v>
      </c>
      <c r="F40" s="223">
        <v>2.4</v>
      </c>
      <c r="G40" s="177" t="s">
        <v>1214</v>
      </c>
      <c r="H40" s="177" t="s">
        <v>1215</v>
      </c>
      <c r="I40" s="269" t="s">
        <v>1518</v>
      </c>
      <c r="J40" s="269"/>
      <c r="X40" s="177">
        <v>3.177264871389196E-2</v>
      </c>
      <c r="Y40" s="177">
        <v>3.649753577420186E-2</v>
      </c>
    </row>
    <row r="41" spans="1:26">
      <c r="A41" s="177" t="s">
        <v>1041</v>
      </c>
      <c r="B41" s="177">
        <v>129</v>
      </c>
      <c r="C41" s="177">
        <v>32</v>
      </c>
      <c r="D41" s="177">
        <v>16</v>
      </c>
      <c r="E41" s="177">
        <v>15</v>
      </c>
      <c r="F41" s="223">
        <v>1.9</v>
      </c>
      <c r="G41" s="177" t="s">
        <v>1214</v>
      </c>
      <c r="H41" s="177" t="s">
        <v>1215</v>
      </c>
      <c r="I41" s="269" t="s">
        <v>1518</v>
      </c>
      <c r="J41" s="269"/>
      <c r="M41" s="177" t="s">
        <v>1020</v>
      </c>
      <c r="N41" s="177" t="s">
        <v>803</v>
      </c>
      <c r="O41" s="177" t="s">
        <v>1217</v>
      </c>
      <c r="P41" s="177" t="s">
        <v>1218</v>
      </c>
      <c r="Q41" s="177" t="s">
        <v>1219</v>
      </c>
      <c r="R41" s="177" t="s">
        <v>1220</v>
      </c>
      <c r="S41" s="177" t="s">
        <v>1187</v>
      </c>
      <c r="T41" s="177" t="s">
        <v>1188</v>
      </c>
      <c r="X41" s="177">
        <v>-0.8772240199694179</v>
      </c>
      <c r="Y41" s="177">
        <v>-0.90032337541877661</v>
      </c>
    </row>
    <row r="42" spans="1:26">
      <c r="A42" s="177" t="s">
        <v>1041</v>
      </c>
      <c r="B42" s="177">
        <v>133</v>
      </c>
      <c r="C42" s="177">
        <v>32</v>
      </c>
      <c r="D42" s="177">
        <v>16</v>
      </c>
      <c r="E42" s="177">
        <v>14</v>
      </c>
      <c r="F42" s="223">
        <v>1.7</v>
      </c>
      <c r="G42" s="177" t="s">
        <v>1214</v>
      </c>
      <c r="H42" s="177" t="s">
        <v>1215</v>
      </c>
      <c r="I42" s="269" t="s">
        <v>1518</v>
      </c>
      <c r="J42" s="269"/>
      <c r="M42" s="271" t="s">
        <v>1208</v>
      </c>
      <c r="N42" s="271"/>
      <c r="O42" s="271">
        <v>2</v>
      </c>
      <c r="P42" s="271">
        <v>0.1305</v>
      </c>
      <c r="Q42" s="271"/>
      <c r="R42" s="271">
        <v>7.2000000000000005E-4</v>
      </c>
      <c r="S42" s="271" t="s">
        <v>1209</v>
      </c>
      <c r="T42" s="271"/>
      <c r="V42" s="271">
        <v>7.2000000000000005E-4</v>
      </c>
      <c r="X42" s="177">
        <f t="shared" ref="X42:X56" si="5">$X$39/($X$40+V42^$X$41)</f>
        <v>3.6135145382881861E-3</v>
      </c>
      <c r="Y42" s="177">
        <f>(X42-P42)^2</f>
        <v>1.6100180192825206E-2</v>
      </c>
    </row>
    <row r="43" spans="1:26">
      <c r="A43" s="177" t="s">
        <v>1041</v>
      </c>
      <c r="B43" s="177">
        <v>12</v>
      </c>
      <c r="C43" s="177">
        <v>20</v>
      </c>
      <c r="D43" s="177">
        <v>7.6</v>
      </c>
      <c r="E43" s="177">
        <v>9</v>
      </c>
      <c r="F43" s="223">
        <v>1.42</v>
      </c>
      <c r="G43" s="177" t="s">
        <v>1214</v>
      </c>
      <c r="H43" s="177" t="s">
        <v>1215</v>
      </c>
      <c r="I43" s="269" t="s">
        <v>1519</v>
      </c>
      <c r="J43" s="269"/>
      <c r="M43" s="271" t="s">
        <v>1198</v>
      </c>
      <c r="N43" s="271"/>
      <c r="O43" s="271"/>
      <c r="P43" s="271">
        <v>1.65</v>
      </c>
      <c r="Q43" s="271">
        <v>1.1000000000000001</v>
      </c>
      <c r="R43" s="271">
        <v>4.8000000000000001E-2</v>
      </c>
      <c r="S43" s="271" t="s">
        <v>1196</v>
      </c>
      <c r="T43" s="271"/>
      <c r="V43" s="271">
        <v>4.8000000000000001E-2</v>
      </c>
      <c r="X43" s="177">
        <f t="shared" si="5"/>
        <v>0.14353902429791621</v>
      </c>
      <c r="Y43" s="177">
        <f t="shared" ref="Y43:Y56" si="6">(X43-P43)^2</f>
        <v>2.2694246713132742</v>
      </c>
    </row>
    <row r="44" spans="1:26">
      <c r="A44" s="177" t="s">
        <v>1041</v>
      </c>
      <c r="B44" s="177">
        <v>5</v>
      </c>
      <c r="C44" s="177">
        <v>19</v>
      </c>
      <c r="D44" s="177">
        <v>8.8000000000000007</v>
      </c>
      <c r="E44" s="177">
        <v>8.1999999999999993</v>
      </c>
      <c r="F44" s="223">
        <v>0.98</v>
      </c>
      <c r="G44" s="177" t="s">
        <v>1214</v>
      </c>
      <c r="H44" s="177" t="s">
        <v>1215</v>
      </c>
      <c r="I44" s="269" t="s">
        <v>1519</v>
      </c>
      <c r="J44" s="269"/>
      <c r="M44" s="271" t="s">
        <v>1041</v>
      </c>
      <c r="N44" s="271">
        <v>155</v>
      </c>
      <c r="O44" s="271">
        <v>33</v>
      </c>
      <c r="P44" s="271">
        <v>6</v>
      </c>
      <c r="Q44" s="271">
        <v>13</v>
      </c>
      <c r="R44" s="271">
        <v>3.4</v>
      </c>
      <c r="S44" s="271" t="s">
        <v>1214</v>
      </c>
      <c r="T44" s="271" t="s">
        <v>1215</v>
      </c>
      <c r="V44" s="271">
        <v>3.4</v>
      </c>
      <c r="X44" s="177">
        <f t="shared" si="5"/>
        <v>5.5258691887955864</v>
      </c>
      <c r="Y44" s="177">
        <f t="shared" si="6"/>
        <v>0.22480002613335529</v>
      </c>
    </row>
    <row r="45" spans="1:26">
      <c r="A45" s="177" t="s">
        <v>1041</v>
      </c>
      <c r="B45" s="177">
        <v>199</v>
      </c>
      <c r="C45" s="177">
        <v>86</v>
      </c>
      <c r="D45" s="177">
        <v>27</v>
      </c>
      <c r="E45" s="177">
        <v>22</v>
      </c>
      <c r="F45" s="223">
        <v>2.8</v>
      </c>
      <c r="G45" s="177" t="s">
        <v>1214</v>
      </c>
      <c r="H45" s="177" t="s">
        <v>1215</v>
      </c>
      <c r="I45" s="269" t="s">
        <v>1518</v>
      </c>
      <c r="J45" s="269"/>
      <c r="M45" s="271" t="s">
        <v>1041</v>
      </c>
      <c r="N45" s="271">
        <v>143</v>
      </c>
      <c r="O45" s="271">
        <v>33</v>
      </c>
      <c r="P45" s="271">
        <v>6</v>
      </c>
      <c r="Q45" s="271">
        <v>14</v>
      </c>
      <c r="R45" s="271">
        <v>3.9</v>
      </c>
      <c r="S45" s="271" t="s">
        <v>1214</v>
      </c>
      <c r="T45" s="271" t="s">
        <v>1215</v>
      </c>
      <c r="V45" s="271">
        <v>3.9</v>
      </c>
      <c r="X45" s="177">
        <f t="shared" si="5"/>
        <v>6.1655515080651302</v>
      </c>
      <c r="Y45" s="177">
        <f t="shared" si="6"/>
        <v>2.7407301822638869E-2</v>
      </c>
    </row>
    <row r="46" spans="1:26">
      <c r="A46" s="177" t="s">
        <v>1041</v>
      </c>
      <c r="B46" s="177">
        <v>160</v>
      </c>
      <c r="C46" s="177">
        <v>60</v>
      </c>
      <c r="D46" s="177">
        <v>25</v>
      </c>
      <c r="E46" s="177">
        <v>22</v>
      </c>
      <c r="F46" s="223">
        <v>2.8</v>
      </c>
      <c r="G46" s="177" t="s">
        <v>1214</v>
      </c>
      <c r="H46" s="177" t="s">
        <v>1215</v>
      </c>
      <c r="I46" s="269" t="s">
        <v>1518</v>
      </c>
      <c r="J46" s="269"/>
      <c r="M46" s="271" t="s">
        <v>1041</v>
      </c>
      <c r="N46" s="271">
        <v>29</v>
      </c>
      <c r="O46" s="271">
        <v>20</v>
      </c>
      <c r="P46" s="271">
        <v>7.2</v>
      </c>
      <c r="Q46" s="271">
        <v>11.4</v>
      </c>
      <c r="R46" s="271">
        <v>4.4800000000000004</v>
      </c>
      <c r="S46" s="271" t="s">
        <v>1214</v>
      </c>
      <c r="T46" s="271" t="s">
        <v>1215</v>
      </c>
      <c r="V46" s="271">
        <v>4.4800000000000004</v>
      </c>
      <c r="X46" s="177">
        <f t="shared" si="5"/>
        <v>6.8785197620714706</v>
      </c>
      <c r="Y46" s="177">
        <f t="shared" si="6"/>
        <v>0.10334954337858396</v>
      </c>
    </row>
    <row r="47" spans="1:26">
      <c r="A47" s="177" t="s">
        <v>1041</v>
      </c>
      <c r="B47" s="177">
        <v>3</v>
      </c>
      <c r="C47" s="177">
        <v>18</v>
      </c>
      <c r="D47" s="177">
        <v>7.4</v>
      </c>
      <c r="E47" s="177">
        <v>13.8</v>
      </c>
      <c r="F47" s="223">
        <v>6.03</v>
      </c>
      <c r="G47" s="177" t="s">
        <v>1214</v>
      </c>
      <c r="H47" s="177" t="s">
        <v>1215</v>
      </c>
      <c r="I47" s="269" t="s">
        <v>1519</v>
      </c>
      <c r="J47" s="269"/>
      <c r="M47" s="271" t="s">
        <v>1041</v>
      </c>
      <c r="N47" s="271">
        <v>147</v>
      </c>
      <c r="O47" s="271">
        <v>33</v>
      </c>
      <c r="P47" s="271">
        <v>7</v>
      </c>
      <c r="Q47" s="271">
        <v>14</v>
      </c>
      <c r="R47" s="271">
        <v>4.5</v>
      </c>
      <c r="S47" s="271" t="s">
        <v>1214</v>
      </c>
      <c r="T47" s="271" t="s">
        <v>1215</v>
      </c>
      <c r="V47" s="271">
        <v>4.5</v>
      </c>
      <c r="X47" s="177">
        <f t="shared" si="5"/>
        <v>6.9025888461634937</v>
      </c>
      <c r="Y47" s="177">
        <f t="shared" si="6"/>
        <v>9.4889328917595033E-3</v>
      </c>
    </row>
    <row r="48" spans="1:26">
      <c r="A48" s="177" t="s">
        <v>1041</v>
      </c>
      <c r="B48" s="177">
        <v>148</v>
      </c>
      <c r="C48" s="177">
        <v>33</v>
      </c>
      <c r="D48" s="177">
        <v>5</v>
      </c>
      <c r="E48" s="177">
        <v>6</v>
      </c>
      <c r="F48" s="223">
        <v>0.9</v>
      </c>
      <c r="G48" s="177" t="s">
        <v>1214</v>
      </c>
      <c r="H48" s="177" t="s">
        <v>1215</v>
      </c>
      <c r="I48" s="269" t="s">
        <v>1518</v>
      </c>
      <c r="J48" s="269"/>
      <c r="M48" s="271" t="s">
        <v>1041</v>
      </c>
      <c r="N48" s="271">
        <v>25</v>
      </c>
      <c r="O48" s="271">
        <v>20</v>
      </c>
      <c r="P48" s="271">
        <v>7.5</v>
      </c>
      <c r="Q48" s="271">
        <v>12</v>
      </c>
      <c r="R48" s="271">
        <v>4.95</v>
      </c>
      <c r="S48" s="271" t="s">
        <v>1214</v>
      </c>
      <c r="T48" s="271" t="s">
        <v>1215</v>
      </c>
      <c r="V48" s="271">
        <v>4.95</v>
      </c>
      <c r="X48" s="177">
        <f t="shared" si="5"/>
        <v>7.4356285576743204</v>
      </c>
      <c r="Y48" s="177">
        <f t="shared" si="6"/>
        <v>4.1436825870882947E-3</v>
      </c>
    </row>
    <row r="49" spans="1:25">
      <c r="A49" s="177" t="s">
        <v>1041</v>
      </c>
      <c r="B49" s="177">
        <v>144</v>
      </c>
      <c r="C49" s="177">
        <v>33</v>
      </c>
      <c r="D49" s="177">
        <v>5</v>
      </c>
      <c r="E49" s="177">
        <v>8</v>
      </c>
      <c r="F49" s="223">
        <v>1.1000000000000001</v>
      </c>
      <c r="G49" s="177" t="s">
        <v>1214</v>
      </c>
      <c r="H49" s="177" t="s">
        <v>1215</v>
      </c>
      <c r="I49" s="269" t="s">
        <v>1518</v>
      </c>
      <c r="J49" s="269"/>
      <c r="M49" s="271" t="s">
        <v>1041</v>
      </c>
      <c r="N49" s="271">
        <v>17</v>
      </c>
      <c r="O49" s="271">
        <v>20</v>
      </c>
      <c r="P49" s="271">
        <v>7.8</v>
      </c>
      <c r="Q49" s="271">
        <v>10.199999999999999</v>
      </c>
      <c r="R49" s="271">
        <v>5.01</v>
      </c>
      <c r="S49" s="271" t="s">
        <v>1214</v>
      </c>
      <c r="T49" s="271" t="s">
        <v>1215</v>
      </c>
      <c r="V49" s="271">
        <v>5.01</v>
      </c>
      <c r="X49" s="177">
        <f t="shared" si="5"/>
        <v>7.5055065788682667</v>
      </c>
      <c r="Y49" s="177">
        <f t="shared" si="6"/>
        <v>8.672637508987234E-2</v>
      </c>
    </row>
    <row r="50" spans="1:25">
      <c r="A50" s="177" t="s">
        <v>1041</v>
      </c>
      <c r="B50" s="177">
        <v>136</v>
      </c>
      <c r="C50" s="177">
        <v>32</v>
      </c>
      <c r="D50" s="177">
        <v>11</v>
      </c>
      <c r="E50" s="177">
        <v>8</v>
      </c>
      <c r="F50" s="223">
        <v>0.5</v>
      </c>
      <c r="G50" s="177" t="s">
        <v>1214</v>
      </c>
      <c r="H50" s="177" t="s">
        <v>1215</v>
      </c>
      <c r="I50" s="269" t="s">
        <v>1518</v>
      </c>
      <c r="J50" s="269"/>
      <c r="M50" s="271" t="s">
        <v>1041</v>
      </c>
      <c r="N50" s="271">
        <v>3</v>
      </c>
      <c r="O50" s="271">
        <v>18</v>
      </c>
      <c r="P50" s="271">
        <v>7.4</v>
      </c>
      <c r="Q50" s="271">
        <v>13.8</v>
      </c>
      <c r="R50" s="271">
        <v>6.03</v>
      </c>
      <c r="S50" s="271" t="s">
        <v>1214</v>
      </c>
      <c r="T50" s="271" t="s">
        <v>1215</v>
      </c>
      <c r="V50" s="271">
        <v>6.03</v>
      </c>
      <c r="X50" s="177">
        <f t="shared" si="5"/>
        <v>8.6539001456916189</v>
      </c>
      <c r="Y50" s="177">
        <f t="shared" si="6"/>
        <v>1.5722655753654622</v>
      </c>
    </row>
    <row r="51" spans="1:25">
      <c r="A51" s="177" t="s">
        <v>1041</v>
      </c>
      <c r="B51" s="177">
        <v>7</v>
      </c>
      <c r="C51" s="177">
        <v>19</v>
      </c>
      <c r="D51" s="177">
        <v>9.6</v>
      </c>
      <c r="E51" s="177">
        <v>11.2</v>
      </c>
      <c r="F51" s="223">
        <v>1.88</v>
      </c>
      <c r="G51" s="177" t="s">
        <v>1214</v>
      </c>
      <c r="H51" s="177" t="s">
        <v>1215</v>
      </c>
      <c r="I51" s="269" t="s">
        <v>1519</v>
      </c>
      <c r="J51" s="269"/>
      <c r="M51" s="271" t="s">
        <v>1041</v>
      </c>
      <c r="N51" s="271">
        <v>66</v>
      </c>
      <c r="O51" s="271">
        <v>21</v>
      </c>
      <c r="P51" s="271">
        <v>9</v>
      </c>
      <c r="Q51" s="271">
        <v>13.3</v>
      </c>
      <c r="R51" s="271">
        <v>6.52</v>
      </c>
      <c r="S51" s="271" t="s">
        <v>1214</v>
      </c>
      <c r="T51" s="271" t="s">
        <v>1215</v>
      </c>
      <c r="V51" s="271">
        <v>6.52</v>
      </c>
      <c r="X51" s="177">
        <f t="shared" si="5"/>
        <v>9.1810450117901077</v>
      </c>
      <c r="Y51" s="177">
        <f t="shared" si="6"/>
        <v>3.277729629408023E-2</v>
      </c>
    </row>
    <row r="52" spans="1:25">
      <c r="A52" s="177" t="s">
        <v>1041</v>
      </c>
      <c r="B52" s="177">
        <v>186</v>
      </c>
      <c r="C52" s="177">
        <v>83</v>
      </c>
      <c r="D52" s="177">
        <v>21</v>
      </c>
      <c r="E52" s="177">
        <v>21</v>
      </c>
      <c r="F52" s="223">
        <v>3.7</v>
      </c>
      <c r="G52" s="177" t="s">
        <v>1214</v>
      </c>
      <c r="H52" s="177" t="s">
        <v>1215</v>
      </c>
      <c r="I52" s="269" t="s">
        <v>1518</v>
      </c>
      <c r="J52" s="269"/>
      <c r="M52" s="271" t="s">
        <v>1041</v>
      </c>
      <c r="N52" s="271">
        <v>99</v>
      </c>
      <c r="O52" s="271">
        <v>32</v>
      </c>
      <c r="P52" s="271">
        <v>10</v>
      </c>
      <c r="Q52" s="271">
        <v>18</v>
      </c>
      <c r="R52" s="271">
        <v>6.6</v>
      </c>
      <c r="S52" s="271" t="s">
        <v>1214</v>
      </c>
      <c r="T52" s="271" t="s">
        <v>1215</v>
      </c>
      <c r="V52" s="271">
        <v>6.6</v>
      </c>
      <c r="X52" s="177">
        <f t="shared" si="5"/>
        <v>9.2657086452965736</v>
      </c>
      <c r="Y52" s="177">
        <f t="shared" si="6"/>
        <v>0.53918379359219326</v>
      </c>
    </row>
    <row r="53" spans="1:25">
      <c r="A53" s="177" t="s">
        <v>1041</v>
      </c>
      <c r="B53" s="177">
        <v>163</v>
      </c>
      <c r="C53" s="177">
        <v>65</v>
      </c>
      <c r="D53" s="177">
        <v>21</v>
      </c>
      <c r="E53" s="177">
        <v>18</v>
      </c>
      <c r="F53" s="223">
        <v>2.2000000000000002</v>
      </c>
      <c r="G53" s="177" t="s">
        <v>1214</v>
      </c>
      <c r="H53" s="177" t="s">
        <v>1215</v>
      </c>
      <c r="I53" s="269" t="s">
        <v>1518</v>
      </c>
      <c r="J53" s="269"/>
      <c r="M53" s="271" t="s">
        <v>1041</v>
      </c>
      <c r="N53" s="271">
        <v>47</v>
      </c>
      <c r="O53" s="271">
        <v>20</v>
      </c>
      <c r="P53" s="271">
        <v>8.5</v>
      </c>
      <c r="Q53" s="271">
        <v>14.6</v>
      </c>
      <c r="R53" s="271">
        <v>7.73</v>
      </c>
      <c r="S53" s="271" t="s">
        <v>1214</v>
      </c>
      <c r="T53" s="271" t="s">
        <v>1215</v>
      </c>
      <c r="V53" s="271">
        <v>7.73</v>
      </c>
      <c r="X53" s="177">
        <f t="shared" si="5"/>
        <v>10.422539658177842</v>
      </c>
      <c r="Y53" s="177">
        <f t="shared" si="6"/>
        <v>3.6961587372665718</v>
      </c>
    </row>
    <row r="54" spans="1:25">
      <c r="A54" s="177" t="s">
        <v>1041</v>
      </c>
      <c r="B54" s="177">
        <v>190</v>
      </c>
      <c r="C54" s="177">
        <v>83</v>
      </c>
      <c r="D54" s="177">
        <v>28</v>
      </c>
      <c r="E54" s="177">
        <v>28</v>
      </c>
      <c r="F54" s="223">
        <v>4.2</v>
      </c>
      <c r="G54" s="177" t="s">
        <v>1214</v>
      </c>
      <c r="H54" s="177" t="s">
        <v>1215</v>
      </c>
      <c r="I54" s="269" t="s">
        <v>1518</v>
      </c>
      <c r="J54" s="269"/>
      <c r="M54" s="271" t="s">
        <v>1041</v>
      </c>
      <c r="N54" s="271">
        <v>107</v>
      </c>
      <c r="O54" s="271">
        <v>32</v>
      </c>
      <c r="P54" s="271">
        <v>13</v>
      </c>
      <c r="Q54" s="271">
        <v>24</v>
      </c>
      <c r="R54" s="271">
        <v>9</v>
      </c>
      <c r="S54" s="271" t="s">
        <v>1214</v>
      </c>
      <c r="T54" s="271" t="s">
        <v>1215</v>
      </c>
      <c r="V54" s="271">
        <v>9</v>
      </c>
      <c r="X54" s="177">
        <f t="shared" si="5"/>
        <v>11.643740314634714</v>
      </c>
      <c r="Y54" s="177">
        <f t="shared" si="6"/>
        <v>1.8394403341471444</v>
      </c>
    </row>
    <row r="55" spans="1:25">
      <c r="A55" s="177" t="s">
        <v>1041</v>
      </c>
      <c r="B55" s="177">
        <v>6</v>
      </c>
      <c r="C55" s="177">
        <v>19</v>
      </c>
      <c r="D55" s="177">
        <v>8.6</v>
      </c>
      <c r="E55" s="177">
        <v>9.9</v>
      </c>
      <c r="F55" s="223">
        <v>1.43</v>
      </c>
      <c r="G55" s="177" t="s">
        <v>1214</v>
      </c>
      <c r="H55" s="177" t="s">
        <v>1215</v>
      </c>
      <c r="I55" s="269" t="s">
        <v>1519</v>
      </c>
      <c r="J55" s="269"/>
      <c r="M55" s="271" t="s">
        <v>1041</v>
      </c>
      <c r="N55" s="271">
        <v>189</v>
      </c>
      <c r="O55" s="271">
        <v>82</v>
      </c>
      <c r="P55" s="271">
        <v>22</v>
      </c>
      <c r="Q55" s="271">
        <v>42</v>
      </c>
      <c r="R55" s="271">
        <v>23.3</v>
      </c>
      <c r="S55" s="271" t="s">
        <v>1214</v>
      </c>
      <c r="T55" s="271" t="s">
        <v>1215</v>
      </c>
      <c r="V55" s="271">
        <v>23.3</v>
      </c>
      <c r="X55" s="177">
        <f t="shared" si="5"/>
        <v>21.742439832326955</v>
      </c>
      <c r="Y55" s="177">
        <f t="shared" si="6"/>
        <v>6.6337239971767062E-2</v>
      </c>
    </row>
    <row r="56" spans="1:25">
      <c r="A56" s="177" t="s">
        <v>1041</v>
      </c>
      <c r="B56" s="177">
        <v>10</v>
      </c>
      <c r="C56" s="177">
        <v>20</v>
      </c>
      <c r="D56" s="177">
        <v>7.3</v>
      </c>
      <c r="E56" s="177">
        <v>7.6</v>
      </c>
      <c r="F56" s="223">
        <v>0.82</v>
      </c>
      <c r="G56" s="177" t="s">
        <v>1214</v>
      </c>
      <c r="H56" s="177" t="s">
        <v>1215</v>
      </c>
      <c r="I56" s="269" t="s">
        <v>1519</v>
      </c>
      <c r="J56" s="269"/>
      <c r="M56" s="271" t="s">
        <v>1041</v>
      </c>
      <c r="N56" s="271">
        <v>1</v>
      </c>
      <c r="O56" s="271">
        <v>166</v>
      </c>
      <c r="P56" s="271">
        <v>32.5</v>
      </c>
      <c r="Q56" s="271">
        <v>76.3</v>
      </c>
      <c r="R56" s="271">
        <v>51.39</v>
      </c>
      <c r="S56" s="271" t="s">
        <v>1216</v>
      </c>
      <c r="T56" s="271"/>
      <c r="V56" s="271">
        <v>51.39</v>
      </c>
      <c r="X56" s="177">
        <f t="shared" si="5"/>
        <v>32.593440215819349</v>
      </c>
      <c r="Y56" s="177">
        <f t="shared" si="6"/>
        <v>8.7310739323665648E-3</v>
      </c>
    </row>
    <row r="57" spans="1:25">
      <c r="A57" s="177" t="s">
        <v>1041</v>
      </c>
      <c r="B57" s="177">
        <v>13</v>
      </c>
      <c r="C57" s="177">
        <v>20</v>
      </c>
      <c r="D57" s="177">
        <v>8.6999999999999993</v>
      </c>
      <c r="E57" s="177">
        <v>10.7</v>
      </c>
      <c r="F57" s="223">
        <v>2.2400000000000002</v>
      </c>
      <c r="G57" s="177" t="s">
        <v>1214</v>
      </c>
      <c r="H57" s="177" t="s">
        <v>1215</v>
      </c>
      <c r="I57" s="269" t="s">
        <v>1519</v>
      </c>
      <c r="J57" s="269"/>
      <c r="Y57" s="177">
        <f>SUM(Y42:Y56)</f>
        <v>10.496334763978984</v>
      </c>
    </row>
    <row r="58" spans="1:25">
      <c r="A58" s="177" t="s">
        <v>1041</v>
      </c>
      <c r="B58" s="177">
        <v>14</v>
      </c>
      <c r="C58" s="177">
        <v>20</v>
      </c>
      <c r="D58" s="177">
        <v>6.9</v>
      </c>
      <c r="E58" s="177">
        <v>7.6</v>
      </c>
      <c r="F58" s="223">
        <v>2.5499999999999998</v>
      </c>
      <c r="G58" s="177" t="s">
        <v>1214</v>
      </c>
      <c r="H58" s="177" t="s">
        <v>1215</v>
      </c>
      <c r="I58" s="269" t="s">
        <v>1519</v>
      </c>
      <c r="J58" s="269"/>
    </row>
    <row r="59" spans="1:25">
      <c r="A59" s="177" t="s">
        <v>1041</v>
      </c>
      <c r="B59" s="177">
        <v>17</v>
      </c>
      <c r="C59" s="177">
        <v>20</v>
      </c>
      <c r="D59" s="177">
        <v>7.8</v>
      </c>
      <c r="E59" s="177">
        <v>10.199999999999999</v>
      </c>
      <c r="F59" s="223">
        <v>5.01</v>
      </c>
      <c r="G59" s="177" t="s">
        <v>1214</v>
      </c>
      <c r="H59" s="177" t="s">
        <v>1215</v>
      </c>
      <c r="I59" s="269" t="s">
        <v>1519</v>
      </c>
      <c r="J59" s="269"/>
    </row>
    <row r="60" spans="1:25">
      <c r="A60" s="177" t="s">
        <v>1041</v>
      </c>
      <c r="B60" s="177">
        <v>19</v>
      </c>
      <c r="C60" s="177">
        <v>20</v>
      </c>
      <c r="D60" s="177">
        <v>8.3000000000000007</v>
      </c>
      <c r="E60" s="177">
        <v>10.199999999999999</v>
      </c>
      <c r="F60" s="223">
        <v>4.1500000000000004</v>
      </c>
      <c r="G60" s="177" t="s">
        <v>1214</v>
      </c>
      <c r="H60" s="177" t="s">
        <v>1215</v>
      </c>
      <c r="I60" s="269" t="s">
        <v>1519</v>
      </c>
      <c r="J60" s="269"/>
    </row>
    <row r="61" spans="1:25">
      <c r="A61" s="177" t="s">
        <v>1041</v>
      </c>
      <c r="B61" s="177">
        <v>20</v>
      </c>
      <c r="C61" s="177">
        <v>20</v>
      </c>
      <c r="D61" s="177">
        <v>8.4</v>
      </c>
      <c r="E61" s="177">
        <v>10.5</v>
      </c>
      <c r="F61" s="223">
        <v>2.0499999999999998</v>
      </c>
      <c r="G61" s="177" t="s">
        <v>1214</v>
      </c>
      <c r="H61" s="177" t="s">
        <v>1215</v>
      </c>
      <c r="I61" s="269" t="s">
        <v>1519</v>
      </c>
      <c r="J61" s="269"/>
    </row>
    <row r="62" spans="1:25">
      <c r="A62" s="177" t="s">
        <v>1041</v>
      </c>
      <c r="B62" s="177">
        <v>21</v>
      </c>
      <c r="C62" s="177">
        <v>20</v>
      </c>
      <c r="D62" s="177">
        <v>8</v>
      </c>
      <c r="E62" s="177">
        <v>11.6</v>
      </c>
      <c r="F62" s="223">
        <v>4.38</v>
      </c>
      <c r="G62" s="177" t="s">
        <v>1214</v>
      </c>
      <c r="H62" s="177" t="s">
        <v>1215</v>
      </c>
      <c r="I62" s="269" t="s">
        <v>1519</v>
      </c>
      <c r="J62" s="269"/>
    </row>
    <row r="63" spans="1:25">
      <c r="A63" s="177" t="s">
        <v>1041</v>
      </c>
      <c r="B63" s="177">
        <v>24</v>
      </c>
      <c r="C63" s="177">
        <v>20</v>
      </c>
      <c r="D63" s="177">
        <v>7.8</v>
      </c>
      <c r="E63" s="177">
        <v>11</v>
      </c>
      <c r="F63" s="223">
        <v>3.86</v>
      </c>
      <c r="G63" s="177" t="s">
        <v>1214</v>
      </c>
      <c r="H63" s="177" t="s">
        <v>1215</v>
      </c>
      <c r="I63" s="269" t="s">
        <v>1519</v>
      </c>
      <c r="J63" s="269"/>
    </row>
    <row r="64" spans="1:25">
      <c r="A64" s="177" t="s">
        <v>1041</v>
      </c>
      <c r="B64" s="177">
        <v>25</v>
      </c>
      <c r="C64" s="177">
        <v>20</v>
      </c>
      <c r="D64" s="177">
        <v>7.5</v>
      </c>
      <c r="E64" s="177">
        <v>12</v>
      </c>
      <c r="F64" s="223">
        <v>4.95</v>
      </c>
      <c r="G64" s="177" t="s">
        <v>1214</v>
      </c>
      <c r="H64" s="177" t="s">
        <v>1215</v>
      </c>
      <c r="I64" s="269" t="s">
        <v>1519</v>
      </c>
      <c r="J64" s="269"/>
    </row>
    <row r="65" spans="1:10">
      <c r="A65" s="177" t="s">
        <v>1041</v>
      </c>
      <c r="B65" s="177">
        <v>29</v>
      </c>
      <c r="C65" s="177">
        <v>20</v>
      </c>
      <c r="D65" s="177">
        <v>7.2</v>
      </c>
      <c r="E65" s="177">
        <v>11.4</v>
      </c>
      <c r="F65" s="223">
        <v>4.4800000000000004</v>
      </c>
      <c r="G65" s="177" t="s">
        <v>1214</v>
      </c>
      <c r="H65" s="177" t="s">
        <v>1215</v>
      </c>
      <c r="I65" s="269" t="s">
        <v>1519</v>
      </c>
      <c r="J65" s="269"/>
    </row>
    <row r="66" spans="1:10">
      <c r="A66" s="177" t="s">
        <v>1041</v>
      </c>
      <c r="B66" s="177">
        <v>32</v>
      </c>
      <c r="C66" s="177">
        <v>20</v>
      </c>
      <c r="D66" s="177">
        <v>8.3000000000000007</v>
      </c>
      <c r="E66" s="177">
        <v>9.6</v>
      </c>
      <c r="F66" s="223">
        <v>3.37</v>
      </c>
      <c r="G66" s="177" t="s">
        <v>1214</v>
      </c>
      <c r="H66" s="177" t="s">
        <v>1215</v>
      </c>
      <c r="I66" s="269" t="s">
        <v>1519</v>
      </c>
      <c r="J66" s="269"/>
    </row>
    <row r="67" spans="1:10">
      <c r="A67" s="177" t="s">
        <v>1041</v>
      </c>
      <c r="B67" s="177">
        <v>33</v>
      </c>
      <c r="C67" s="177">
        <v>20</v>
      </c>
      <c r="D67" s="177">
        <v>8.6</v>
      </c>
      <c r="E67" s="177">
        <v>12.2</v>
      </c>
      <c r="F67" s="223">
        <v>3.48</v>
      </c>
      <c r="G67" s="177" t="s">
        <v>1214</v>
      </c>
      <c r="H67" s="177" t="s">
        <v>1215</v>
      </c>
      <c r="I67" s="269" t="s">
        <v>1519</v>
      </c>
      <c r="J67" s="269"/>
    </row>
    <row r="68" spans="1:10">
      <c r="A68" s="177" t="s">
        <v>1041</v>
      </c>
      <c r="B68" s="177">
        <v>37</v>
      </c>
      <c r="C68" s="177">
        <v>20</v>
      </c>
      <c r="D68" s="177">
        <v>9.4</v>
      </c>
      <c r="E68" s="177">
        <v>10.1</v>
      </c>
      <c r="F68" s="223">
        <v>2.61</v>
      </c>
      <c r="G68" s="177" t="s">
        <v>1214</v>
      </c>
      <c r="H68" s="177" t="s">
        <v>1215</v>
      </c>
      <c r="I68" s="269" t="s">
        <v>1519</v>
      </c>
      <c r="J68" s="269"/>
    </row>
    <row r="69" spans="1:10">
      <c r="A69" s="177" t="s">
        <v>1041</v>
      </c>
      <c r="B69" s="177">
        <v>38</v>
      </c>
      <c r="C69" s="177">
        <v>20</v>
      </c>
      <c r="D69" s="177">
        <v>9.3000000000000007</v>
      </c>
      <c r="E69" s="177">
        <v>11.5</v>
      </c>
      <c r="F69" s="223">
        <v>2.98</v>
      </c>
      <c r="G69" s="177" t="s">
        <v>1214</v>
      </c>
      <c r="H69" s="177" t="s">
        <v>1215</v>
      </c>
      <c r="I69" s="269" t="s">
        <v>1519</v>
      </c>
      <c r="J69" s="269"/>
    </row>
    <row r="70" spans="1:10">
      <c r="A70" s="177" t="s">
        <v>1041</v>
      </c>
      <c r="B70" s="177">
        <v>43</v>
      </c>
      <c r="C70" s="177">
        <v>20</v>
      </c>
      <c r="D70" s="177">
        <v>7.2</v>
      </c>
      <c r="E70" s="177">
        <v>9.8000000000000007</v>
      </c>
      <c r="F70" s="223">
        <v>3.42</v>
      </c>
      <c r="G70" s="177" t="s">
        <v>1214</v>
      </c>
      <c r="H70" s="177" t="s">
        <v>1215</v>
      </c>
      <c r="I70" s="269" t="s">
        <v>1519</v>
      </c>
      <c r="J70" s="269"/>
    </row>
    <row r="71" spans="1:10">
      <c r="A71" s="177" t="s">
        <v>1041</v>
      </c>
      <c r="B71" s="177">
        <v>47</v>
      </c>
      <c r="C71" s="177">
        <v>20</v>
      </c>
      <c r="D71" s="177">
        <v>8.5</v>
      </c>
      <c r="E71" s="177">
        <v>14.6</v>
      </c>
      <c r="F71" s="223">
        <v>7.73</v>
      </c>
      <c r="G71" s="177" t="s">
        <v>1214</v>
      </c>
      <c r="H71" s="177" t="s">
        <v>1215</v>
      </c>
      <c r="I71" s="269" t="s">
        <v>1519</v>
      </c>
      <c r="J71" s="269"/>
    </row>
    <row r="72" spans="1:10">
      <c r="A72" s="177" t="s">
        <v>1041</v>
      </c>
      <c r="B72" s="177">
        <v>51</v>
      </c>
      <c r="C72" s="177">
        <v>20</v>
      </c>
      <c r="D72" s="177">
        <v>7.7</v>
      </c>
      <c r="E72" s="177">
        <v>10.6</v>
      </c>
      <c r="F72" s="223">
        <v>2.92</v>
      </c>
      <c r="G72" s="177" t="s">
        <v>1214</v>
      </c>
      <c r="H72" s="177" t="s">
        <v>1215</v>
      </c>
      <c r="I72" s="269" t="s">
        <v>1519</v>
      </c>
      <c r="J72" s="269"/>
    </row>
    <row r="73" spans="1:10">
      <c r="A73" s="177" t="s">
        <v>1041</v>
      </c>
      <c r="B73" s="177">
        <v>60</v>
      </c>
      <c r="C73" s="177">
        <v>21</v>
      </c>
      <c r="D73" s="177">
        <v>8.4</v>
      </c>
      <c r="E73" s="177">
        <v>7.5</v>
      </c>
      <c r="F73" s="223">
        <v>1.54</v>
      </c>
      <c r="G73" s="177" t="s">
        <v>1214</v>
      </c>
      <c r="H73" s="177" t="s">
        <v>1215</v>
      </c>
      <c r="I73" s="269" t="s">
        <v>1519</v>
      </c>
      <c r="J73" s="269"/>
    </row>
    <row r="74" spans="1:10">
      <c r="A74" s="177" t="s">
        <v>1041</v>
      </c>
      <c r="B74" s="177">
        <v>65</v>
      </c>
      <c r="C74" s="177">
        <v>21</v>
      </c>
      <c r="D74" s="177">
        <v>9.1999999999999993</v>
      </c>
      <c r="E74" s="177">
        <v>12.2</v>
      </c>
      <c r="F74" s="223">
        <v>4.82</v>
      </c>
      <c r="G74" s="177" t="s">
        <v>1214</v>
      </c>
      <c r="H74" s="177" t="s">
        <v>1215</v>
      </c>
      <c r="I74" s="269" t="s">
        <v>1519</v>
      </c>
      <c r="J74" s="269"/>
    </row>
    <row r="75" spans="1:10">
      <c r="A75" s="177" t="s">
        <v>1041</v>
      </c>
      <c r="B75" s="177">
        <v>69</v>
      </c>
      <c r="C75" s="177">
        <v>24</v>
      </c>
      <c r="D75" s="177">
        <v>8.6</v>
      </c>
      <c r="E75" s="177">
        <v>11.2</v>
      </c>
      <c r="F75" s="223">
        <v>1.69</v>
      </c>
      <c r="G75" s="177" t="s">
        <v>1214</v>
      </c>
      <c r="H75" s="177" t="s">
        <v>1215</v>
      </c>
      <c r="I75" s="269" t="s">
        <v>1519</v>
      </c>
      <c r="J75" s="269"/>
    </row>
    <row r="76" spans="1:10">
      <c r="A76" s="177" t="s">
        <v>1041</v>
      </c>
      <c r="B76" s="177">
        <v>72</v>
      </c>
      <c r="C76" s="177">
        <v>24</v>
      </c>
      <c r="D76" s="177">
        <v>11.6</v>
      </c>
      <c r="E76" s="177">
        <v>11.9</v>
      </c>
      <c r="F76" s="223">
        <v>1.94</v>
      </c>
      <c r="G76" s="177" t="s">
        <v>1214</v>
      </c>
      <c r="H76" s="177" t="s">
        <v>1215</v>
      </c>
      <c r="I76" s="269" t="s">
        <v>1519</v>
      </c>
      <c r="J76" s="269"/>
    </row>
    <row r="77" spans="1:10">
      <c r="A77" s="177" t="s">
        <v>1041</v>
      </c>
      <c r="B77" s="177">
        <v>75</v>
      </c>
      <c r="C77" s="177">
        <v>24</v>
      </c>
      <c r="D77" s="177">
        <v>12.6</v>
      </c>
      <c r="E77" s="177">
        <v>14.6</v>
      </c>
      <c r="F77" s="223">
        <v>2.34</v>
      </c>
      <c r="G77" s="177" t="s">
        <v>1214</v>
      </c>
      <c r="H77" s="177" t="s">
        <v>1215</v>
      </c>
      <c r="I77" s="269" t="s">
        <v>1519</v>
      </c>
      <c r="J77" s="269"/>
    </row>
    <row r="78" spans="1:10">
      <c r="A78" s="177" t="s">
        <v>1041</v>
      </c>
      <c r="B78" s="177">
        <v>81</v>
      </c>
      <c r="C78" s="177">
        <v>25</v>
      </c>
      <c r="D78" s="177">
        <v>12.6</v>
      </c>
      <c r="E78" s="177">
        <v>12.4</v>
      </c>
      <c r="F78" s="223">
        <v>3.02</v>
      </c>
      <c r="G78" s="177" t="s">
        <v>1214</v>
      </c>
      <c r="H78" s="177" t="s">
        <v>1215</v>
      </c>
      <c r="I78" s="269" t="s">
        <v>1519</v>
      </c>
      <c r="J78" s="269"/>
    </row>
    <row r="79" spans="1:10">
      <c r="A79" s="177" t="s">
        <v>1041</v>
      </c>
      <c r="B79" s="177">
        <v>85</v>
      </c>
      <c r="C79" s="177">
        <v>25</v>
      </c>
      <c r="D79" s="177">
        <v>10.4</v>
      </c>
      <c r="E79" s="177">
        <v>12.2</v>
      </c>
      <c r="F79" s="223">
        <v>2.79</v>
      </c>
      <c r="G79" s="177" t="s">
        <v>1214</v>
      </c>
      <c r="H79" s="177" t="s">
        <v>1215</v>
      </c>
      <c r="I79" s="269" t="s">
        <v>1519</v>
      </c>
      <c r="J79" s="269"/>
    </row>
    <row r="80" spans="1:10">
      <c r="A80" s="177" t="s">
        <v>1041</v>
      </c>
      <c r="B80" s="177">
        <v>86</v>
      </c>
      <c r="C80" s="177">
        <v>27</v>
      </c>
      <c r="D80" s="177">
        <v>10.199999999999999</v>
      </c>
      <c r="E80" s="177">
        <v>15.8</v>
      </c>
      <c r="F80" s="223">
        <v>4.4400000000000004</v>
      </c>
      <c r="G80" s="177" t="s">
        <v>1214</v>
      </c>
      <c r="H80" s="177" t="s">
        <v>1215</v>
      </c>
      <c r="I80" s="269" t="s">
        <v>1519</v>
      </c>
      <c r="J80" s="269"/>
    </row>
    <row r="81" spans="1:10">
      <c r="A81" s="177" t="s">
        <v>1041</v>
      </c>
      <c r="B81" s="177">
        <v>95</v>
      </c>
      <c r="C81" s="177">
        <v>28</v>
      </c>
      <c r="D81" s="177">
        <v>14.6</v>
      </c>
      <c r="E81" s="177">
        <v>15.6</v>
      </c>
      <c r="F81" s="223">
        <v>2.58</v>
      </c>
      <c r="G81" s="177" t="s">
        <v>1214</v>
      </c>
      <c r="H81" s="177" t="s">
        <v>1215</v>
      </c>
      <c r="I81" s="269" t="s">
        <v>1519</v>
      </c>
      <c r="J81" s="269"/>
    </row>
    <row r="82" spans="1:10">
      <c r="A82" s="177" t="s">
        <v>1041</v>
      </c>
      <c r="B82" s="177">
        <v>98</v>
      </c>
      <c r="C82" s="177">
        <v>32</v>
      </c>
      <c r="D82" s="177">
        <v>11</v>
      </c>
      <c r="E82" s="177">
        <v>15</v>
      </c>
      <c r="F82" s="223">
        <v>3.6</v>
      </c>
      <c r="G82" s="177" t="s">
        <v>1214</v>
      </c>
      <c r="H82" s="177" t="s">
        <v>1215</v>
      </c>
      <c r="I82" s="269" t="s">
        <v>1519</v>
      </c>
      <c r="J82" s="269"/>
    </row>
    <row r="83" spans="1:10">
      <c r="A83" s="177" t="s">
        <v>1041</v>
      </c>
      <c r="B83" s="177">
        <v>99</v>
      </c>
      <c r="C83" s="177">
        <v>32</v>
      </c>
      <c r="D83" s="177">
        <v>10</v>
      </c>
      <c r="E83" s="177">
        <v>18</v>
      </c>
      <c r="F83" s="223">
        <v>6.6</v>
      </c>
      <c r="G83" s="177" t="s">
        <v>1214</v>
      </c>
      <c r="H83" s="177" t="s">
        <v>1215</v>
      </c>
      <c r="I83" s="269" t="s">
        <v>1519</v>
      </c>
      <c r="J83" s="269"/>
    </row>
    <row r="84" spans="1:10">
      <c r="A84" s="177" t="s">
        <v>1041</v>
      </c>
      <c r="B84" s="177">
        <v>102</v>
      </c>
      <c r="C84" s="177">
        <v>32</v>
      </c>
      <c r="D84" s="177">
        <v>13</v>
      </c>
      <c r="E84" s="177">
        <v>18</v>
      </c>
      <c r="F84" s="223">
        <v>3.6</v>
      </c>
      <c r="G84" s="177" t="s">
        <v>1214</v>
      </c>
      <c r="H84" s="177" t="s">
        <v>1215</v>
      </c>
      <c r="I84" s="269" t="s">
        <v>1519</v>
      </c>
      <c r="J84" s="269"/>
    </row>
    <row r="85" spans="1:10">
      <c r="A85" s="177" t="s">
        <v>1041</v>
      </c>
      <c r="B85" s="177">
        <v>103</v>
      </c>
      <c r="C85" s="177">
        <v>32</v>
      </c>
      <c r="D85" s="177">
        <v>13</v>
      </c>
      <c r="E85" s="177">
        <v>21</v>
      </c>
      <c r="F85" s="223">
        <v>6.6</v>
      </c>
      <c r="G85" s="177" t="s">
        <v>1214</v>
      </c>
      <c r="H85" s="177" t="s">
        <v>1215</v>
      </c>
      <c r="I85" s="269" t="s">
        <v>1519</v>
      </c>
      <c r="J85" s="269"/>
    </row>
    <row r="86" spans="1:10">
      <c r="A86" s="177" t="s">
        <v>1041</v>
      </c>
      <c r="B86" s="177">
        <v>105</v>
      </c>
      <c r="C86" s="177">
        <v>32</v>
      </c>
      <c r="D86" s="177">
        <v>13</v>
      </c>
      <c r="E86" s="177">
        <v>18</v>
      </c>
      <c r="F86" s="223">
        <v>6.6</v>
      </c>
      <c r="G86" s="177" t="s">
        <v>1214</v>
      </c>
      <c r="H86" s="177" t="s">
        <v>1215</v>
      </c>
      <c r="I86" s="269" t="s">
        <v>1519</v>
      </c>
      <c r="J86" s="269"/>
    </row>
    <row r="87" spans="1:10">
      <c r="A87" s="177" t="s">
        <v>1041</v>
      </c>
      <c r="B87" s="177">
        <v>106</v>
      </c>
      <c r="C87" s="177">
        <v>32</v>
      </c>
      <c r="D87" s="177">
        <v>14</v>
      </c>
      <c r="E87" s="177">
        <v>21</v>
      </c>
      <c r="F87" s="223">
        <v>6.9</v>
      </c>
      <c r="G87" s="177" t="s">
        <v>1214</v>
      </c>
      <c r="H87" s="177" t="s">
        <v>1215</v>
      </c>
      <c r="I87" s="269" t="s">
        <v>1519</v>
      </c>
      <c r="J87" s="269"/>
    </row>
    <row r="88" spans="1:10">
      <c r="A88" s="177" t="s">
        <v>1041</v>
      </c>
      <c r="B88" s="177">
        <v>107</v>
      </c>
      <c r="C88" s="177">
        <v>32</v>
      </c>
      <c r="D88" s="177">
        <v>13</v>
      </c>
      <c r="E88" s="177">
        <v>24</v>
      </c>
      <c r="F88" s="223">
        <v>9</v>
      </c>
      <c r="G88" s="177" t="s">
        <v>1214</v>
      </c>
      <c r="H88" s="177" t="s">
        <v>1215</v>
      </c>
      <c r="I88" s="269" t="s">
        <v>1519</v>
      </c>
      <c r="J88" s="269"/>
    </row>
    <row r="89" spans="1:10">
      <c r="A89" s="177" t="s">
        <v>1041</v>
      </c>
      <c r="B89" s="177">
        <v>110</v>
      </c>
      <c r="C89" s="177">
        <v>32</v>
      </c>
      <c r="D89" s="177">
        <v>13</v>
      </c>
      <c r="E89" s="177">
        <v>17</v>
      </c>
      <c r="F89" s="223">
        <v>4.3</v>
      </c>
      <c r="G89" s="177" t="s">
        <v>1214</v>
      </c>
      <c r="H89" s="177" t="s">
        <v>1215</v>
      </c>
      <c r="I89" s="269" t="s">
        <v>1519</v>
      </c>
      <c r="J89" s="269"/>
    </row>
    <row r="90" spans="1:10">
      <c r="A90" s="177" t="s">
        <v>1041</v>
      </c>
      <c r="B90" s="177">
        <v>111</v>
      </c>
      <c r="C90" s="177">
        <v>32</v>
      </c>
      <c r="D90" s="177">
        <v>13</v>
      </c>
      <c r="E90" s="177">
        <v>20</v>
      </c>
      <c r="F90" s="223">
        <v>6.9</v>
      </c>
      <c r="G90" s="177" t="s">
        <v>1214</v>
      </c>
      <c r="H90" s="177" t="s">
        <v>1215</v>
      </c>
      <c r="I90" s="269" t="s">
        <v>1519</v>
      </c>
      <c r="J90" s="269"/>
    </row>
    <row r="91" spans="1:10">
      <c r="A91" s="177" t="s">
        <v>1041</v>
      </c>
      <c r="B91" s="177">
        <v>115</v>
      </c>
      <c r="C91" s="177">
        <v>32</v>
      </c>
      <c r="D91" s="177">
        <v>11</v>
      </c>
      <c r="E91" s="177">
        <v>16</v>
      </c>
      <c r="F91" s="223">
        <v>3.6</v>
      </c>
      <c r="G91" s="177" t="s">
        <v>1214</v>
      </c>
      <c r="H91" s="177" t="s">
        <v>1215</v>
      </c>
      <c r="I91" s="269" t="s">
        <v>1519</v>
      </c>
      <c r="J91" s="269"/>
    </row>
    <row r="92" spans="1:10">
      <c r="A92" s="177" t="s">
        <v>1041</v>
      </c>
      <c r="B92" s="177">
        <v>118</v>
      </c>
      <c r="C92" s="177">
        <v>32</v>
      </c>
      <c r="D92" s="177">
        <v>10</v>
      </c>
      <c r="E92" s="177">
        <v>13</v>
      </c>
      <c r="F92" s="223">
        <v>2.2000000000000002</v>
      </c>
      <c r="G92" s="177" t="s">
        <v>1214</v>
      </c>
      <c r="H92" s="177" t="s">
        <v>1215</v>
      </c>
      <c r="I92" s="269" t="s">
        <v>1519</v>
      </c>
      <c r="J92" s="269"/>
    </row>
    <row r="93" spans="1:10">
      <c r="A93" s="177" t="s">
        <v>1041</v>
      </c>
      <c r="B93" s="177">
        <v>119</v>
      </c>
      <c r="C93" s="177">
        <v>32</v>
      </c>
      <c r="D93" s="177">
        <v>11</v>
      </c>
      <c r="E93" s="177">
        <v>16</v>
      </c>
      <c r="F93" s="223">
        <v>3.5</v>
      </c>
      <c r="G93" s="177" t="s">
        <v>1214</v>
      </c>
      <c r="H93" s="177" t="s">
        <v>1215</v>
      </c>
      <c r="I93" s="269" t="s">
        <v>1519</v>
      </c>
      <c r="J93" s="269"/>
    </row>
    <row r="94" spans="1:10">
      <c r="A94" s="177" t="s">
        <v>1041</v>
      </c>
      <c r="B94" s="177">
        <v>123</v>
      </c>
      <c r="C94" s="177">
        <v>32</v>
      </c>
      <c r="D94" s="177">
        <v>13</v>
      </c>
      <c r="E94" s="177">
        <v>15</v>
      </c>
      <c r="F94" s="223">
        <v>3.4</v>
      </c>
      <c r="G94" s="177" t="s">
        <v>1214</v>
      </c>
      <c r="H94" s="177" t="s">
        <v>1215</v>
      </c>
      <c r="I94" s="269" t="s">
        <v>1519</v>
      </c>
      <c r="J94" s="269"/>
    </row>
    <row r="95" spans="1:10">
      <c r="A95" s="177" t="s">
        <v>1041</v>
      </c>
      <c r="B95" s="177">
        <v>127</v>
      </c>
      <c r="C95" s="177">
        <v>32</v>
      </c>
      <c r="D95" s="177">
        <v>17</v>
      </c>
      <c r="E95" s="177">
        <v>19</v>
      </c>
      <c r="F95" s="223">
        <v>5.4</v>
      </c>
      <c r="G95" s="177" t="s">
        <v>1214</v>
      </c>
      <c r="H95" s="177" t="s">
        <v>1215</v>
      </c>
      <c r="I95" s="269" t="s">
        <v>1519</v>
      </c>
      <c r="J95" s="269"/>
    </row>
    <row r="96" spans="1:10">
      <c r="A96" s="177" t="s">
        <v>1041</v>
      </c>
      <c r="B96" s="177">
        <v>128</v>
      </c>
      <c r="C96" s="177">
        <v>32</v>
      </c>
      <c r="D96" s="177">
        <v>15</v>
      </c>
      <c r="E96" s="177">
        <v>13</v>
      </c>
      <c r="F96" s="223">
        <v>1.4</v>
      </c>
      <c r="G96" s="177" t="s">
        <v>1214</v>
      </c>
      <c r="H96" s="177" t="s">
        <v>1215</v>
      </c>
      <c r="I96" s="269" t="s">
        <v>1519</v>
      </c>
      <c r="J96" s="269"/>
    </row>
    <row r="97" spans="1:10">
      <c r="A97" s="177" t="s">
        <v>1041</v>
      </c>
      <c r="B97" s="177">
        <v>131</v>
      </c>
      <c r="C97" s="177">
        <v>32</v>
      </c>
      <c r="D97" s="177">
        <v>18</v>
      </c>
      <c r="E97" s="177">
        <v>21</v>
      </c>
      <c r="F97" s="223">
        <v>6.5</v>
      </c>
      <c r="G97" s="177" t="s">
        <v>1214</v>
      </c>
      <c r="H97" s="177" t="s">
        <v>1215</v>
      </c>
      <c r="I97" s="269" t="s">
        <v>1519</v>
      </c>
      <c r="J97" s="269"/>
    </row>
    <row r="98" spans="1:10">
      <c r="A98" s="177" t="s">
        <v>1041</v>
      </c>
      <c r="B98" s="177">
        <v>132</v>
      </c>
      <c r="C98" s="177">
        <v>32</v>
      </c>
      <c r="D98" s="177">
        <v>15</v>
      </c>
      <c r="E98" s="177">
        <v>11</v>
      </c>
      <c r="F98" s="223">
        <v>1.3</v>
      </c>
      <c r="G98" s="177" t="s">
        <v>1214</v>
      </c>
      <c r="H98" s="177" t="s">
        <v>1215</v>
      </c>
      <c r="I98" s="269" t="s">
        <v>1519</v>
      </c>
      <c r="J98" s="269"/>
    </row>
    <row r="99" spans="1:10">
      <c r="A99" s="177" t="s">
        <v>1041</v>
      </c>
      <c r="B99" s="177">
        <v>134</v>
      </c>
      <c r="C99" s="177">
        <v>32</v>
      </c>
      <c r="D99" s="177">
        <v>16</v>
      </c>
      <c r="E99" s="177">
        <v>15</v>
      </c>
      <c r="F99" s="223">
        <v>3.8</v>
      </c>
      <c r="G99" s="177" t="s">
        <v>1214</v>
      </c>
      <c r="H99" s="177" t="s">
        <v>1215</v>
      </c>
      <c r="I99" s="269" t="s">
        <v>1519</v>
      </c>
      <c r="J99" s="269"/>
    </row>
    <row r="100" spans="1:10">
      <c r="A100" s="177" t="s">
        <v>1041</v>
      </c>
      <c r="B100" s="177">
        <v>135</v>
      </c>
      <c r="C100" s="177">
        <v>32</v>
      </c>
      <c r="D100" s="177">
        <v>18</v>
      </c>
      <c r="E100" s="177">
        <v>19</v>
      </c>
      <c r="F100" s="223">
        <v>6.3</v>
      </c>
      <c r="G100" s="177" t="s">
        <v>1214</v>
      </c>
      <c r="H100" s="177" t="s">
        <v>1215</v>
      </c>
      <c r="I100" s="269" t="s">
        <v>1519</v>
      </c>
      <c r="J100" s="269"/>
    </row>
    <row r="101" spans="1:10">
      <c r="A101" s="177" t="s">
        <v>1041</v>
      </c>
      <c r="B101" s="177">
        <v>138</v>
      </c>
      <c r="C101" s="177">
        <v>32</v>
      </c>
      <c r="D101" s="177">
        <v>13</v>
      </c>
      <c r="E101" s="177">
        <v>12</v>
      </c>
      <c r="F101" s="223">
        <v>1.7</v>
      </c>
      <c r="G101" s="177" t="s">
        <v>1214</v>
      </c>
      <c r="H101" s="177" t="s">
        <v>1215</v>
      </c>
      <c r="I101" s="269" t="s">
        <v>1519</v>
      </c>
      <c r="J101" s="269"/>
    </row>
    <row r="102" spans="1:10">
      <c r="A102" s="177" t="s">
        <v>1041</v>
      </c>
      <c r="B102" s="177">
        <v>139</v>
      </c>
      <c r="C102" s="177">
        <v>32</v>
      </c>
      <c r="D102" s="177">
        <v>15</v>
      </c>
      <c r="E102" s="177">
        <v>14</v>
      </c>
      <c r="F102" s="223">
        <v>3.2</v>
      </c>
      <c r="G102" s="177" t="s">
        <v>1214</v>
      </c>
      <c r="H102" s="177" t="s">
        <v>1215</v>
      </c>
      <c r="I102" s="269" t="s">
        <v>1519</v>
      </c>
      <c r="J102" s="269"/>
    </row>
    <row r="103" spans="1:10">
      <c r="A103" s="177" t="s">
        <v>1041</v>
      </c>
      <c r="B103" s="177">
        <v>142</v>
      </c>
      <c r="C103" s="177">
        <v>33</v>
      </c>
      <c r="D103" s="177">
        <v>6</v>
      </c>
      <c r="E103" s="177">
        <v>12</v>
      </c>
      <c r="F103" s="223">
        <v>1.8</v>
      </c>
      <c r="G103" s="177" t="s">
        <v>1214</v>
      </c>
      <c r="H103" s="177" t="s">
        <v>1215</v>
      </c>
      <c r="I103" s="269" t="s">
        <v>1519</v>
      </c>
      <c r="J103" s="269"/>
    </row>
    <row r="104" spans="1:10">
      <c r="A104" s="177" t="s">
        <v>1041</v>
      </c>
      <c r="B104" s="177">
        <v>143</v>
      </c>
      <c r="C104" s="177">
        <v>33</v>
      </c>
      <c r="D104" s="177">
        <v>6</v>
      </c>
      <c r="E104" s="177">
        <v>14</v>
      </c>
      <c r="F104" s="223">
        <v>3.9</v>
      </c>
      <c r="G104" s="177" t="s">
        <v>1214</v>
      </c>
      <c r="H104" s="177" t="s">
        <v>1215</v>
      </c>
      <c r="I104" s="269" t="s">
        <v>1519</v>
      </c>
      <c r="J104" s="269"/>
    </row>
    <row r="105" spans="1:10">
      <c r="A105" s="177" t="s">
        <v>1041</v>
      </c>
      <c r="B105" s="177">
        <v>146</v>
      </c>
      <c r="C105" s="177">
        <v>33</v>
      </c>
      <c r="D105" s="177">
        <v>6</v>
      </c>
      <c r="E105" s="177">
        <v>11</v>
      </c>
      <c r="F105" s="223">
        <v>2.1</v>
      </c>
      <c r="G105" s="177" t="s">
        <v>1214</v>
      </c>
      <c r="H105" s="177" t="s">
        <v>1215</v>
      </c>
      <c r="I105" s="269" t="s">
        <v>1519</v>
      </c>
      <c r="J105" s="269"/>
    </row>
    <row r="106" spans="1:10">
      <c r="A106" s="177" t="s">
        <v>1041</v>
      </c>
      <c r="B106" s="177">
        <v>147</v>
      </c>
      <c r="C106" s="177">
        <v>33</v>
      </c>
      <c r="D106" s="177">
        <v>7</v>
      </c>
      <c r="E106" s="177">
        <v>14</v>
      </c>
      <c r="F106" s="223">
        <v>4.5</v>
      </c>
      <c r="G106" s="177" t="s">
        <v>1214</v>
      </c>
      <c r="H106" s="177" t="s">
        <v>1215</v>
      </c>
      <c r="I106" s="269" t="s">
        <v>1519</v>
      </c>
      <c r="J106" s="269"/>
    </row>
    <row r="107" spans="1:10">
      <c r="A107" s="177" t="s">
        <v>1041</v>
      </c>
      <c r="B107" s="177">
        <v>150</v>
      </c>
      <c r="C107" s="177">
        <v>33</v>
      </c>
      <c r="D107" s="177">
        <v>5</v>
      </c>
      <c r="E107" s="177">
        <v>9</v>
      </c>
      <c r="F107" s="223">
        <v>1.8</v>
      </c>
      <c r="G107" s="177" t="s">
        <v>1214</v>
      </c>
      <c r="H107" s="177" t="s">
        <v>1215</v>
      </c>
      <c r="I107" s="269" t="s">
        <v>1519</v>
      </c>
      <c r="J107" s="269"/>
    </row>
    <row r="108" spans="1:10">
      <c r="A108" s="177" t="s">
        <v>1041</v>
      </c>
      <c r="B108" s="177">
        <v>151</v>
      </c>
      <c r="C108" s="177">
        <v>33</v>
      </c>
      <c r="D108" s="177">
        <v>5</v>
      </c>
      <c r="E108" s="177">
        <v>11</v>
      </c>
      <c r="F108" s="223">
        <v>1.7</v>
      </c>
      <c r="G108" s="177" t="s">
        <v>1214</v>
      </c>
      <c r="H108" s="177" t="s">
        <v>1215</v>
      </c>
      <c r="I108" s="269" t="s">
        <v>1519</v>
      </c>
      <c r="J108" s="269"/>
    </row>
    <row r="109" spans="1:10">
      <c r="A109" s="177" t="s">
        <v>1041</v>
      </c>
      <c r="B109" s="177">
        <v>154</v>
      </c>
      <c r="C109" s="177">
        <v>33</v>
      </c>
      <c r="D109" s="177">
        <v>6</v>
      </c>
      <c r="E109" s="177">
        <v>11</v>
      </c>
      <c r="F109" s="223">
        <v>2.1</v>
      </c>
      <c r="G109" s="177" t="s">
        <v>1214</v>
      </c>
      <c r="H109" s="177" t="s">
        <v>1215</v>
      </c>
      <c r="I109" s="269" t="s">
        <v>1519</v>
      </c>
      <c r="J109" s="269"/>
    </row>
    <row r="110" spans="1:10">
      <c r="A110" s="177" t="s">
        <v>1041</v>
      </c>
      <c r="B110" s="177">
        <v>155</v>
      </c>
      <c r="C110" s="177">
        <v>33</v>
      </c>
      <c r="D110" s="177">
        <v>6</v>
      </c>
      <c r="E110" s="177">
        <v>13</v>
      </c>
      <c r="F110" s="223">
        <v>3.4</v>
      </c>
      <c r="G110" s="177" t="s">
        <v>1214</v>
      </c>
      <c r="H110" s="177" t="s">
        <v>1215</v>
      </c>
      <c r="I110" s="269" t="s">
        <v>1519</v>
      </c>
      <c r="J110" s="269"/>
    </row>
    <row r="111" spans="1:10">
      <c r="A111" s="177" t="s">
        <v>1041</v>
      </c>
      <c r="B111" s="177">
        <v>158</v>
      </c>
      <c r="C111" s="177">
        <v>42</v>
      </c>
      <c r="D111" s="177">
        <v>22</v>
      </c>
      <c r="E111" s="177">
        <v>24</v>
      </c>
      <c r="F111" s="223">
        <v>8.9</v>
      </c>
      <c r="G111" s="177" t="s">
        <v>1214</v>
      </c>
      <c r="H111" s="177" t="s">
        <v>1215</v>
      </c>
      <c r="I111" s="269" t="s">
        <v>1519</v>
      </c>
      <c r="J111" s="269"/>
    </row>
    <row r="112" spans="1:10">
      <c r="A112" s="177" t="s">
        <v>1041</v>
      </c>
      <c r="B112" s="177">
        <v>159</v>
      </c>
      <c r="C112" s="177">
        <v>55</v>
      </c>
      <c r="D112" s="177">
        <v>21</v>
      </c>
      <c r="E112" s="177">
        <v>22</v>
      </c>
      <c r="F112" s="223">
        <v>6.1</v>
      </c>
      <c r="G112" s="177" t="s">
        <v>1214</v>
      </c>
      <c r="H112" s="177" t="s">
        <v>1215</v>
      </c>
      <c r="I112" s="269" t="s">
        <v>1519</v>
      </c>
      <c r="J112" s="269"/>
    </row>
    <row r="113" spans="1:10">
      <c r="A113" s="177" t="s">
        <v>1041</v>
      </c>
      <c r="B113" s="177">
        <v>161</v>
      </c>
      <c r="C113" s="177">
        <v>60</v>
      </c>
      <c r="D113" s="177">
        <v>28</v>
      </c>
      <c r="E113" s="177">
        <v>32</v>
      </c>
      <c r="F113" s="223">
        <v>6.8</v>
      </c>
      <c r="G113" s="177" t="s">
        <v>1214</v>
      </c>
      <c r="H113" s="177" t="s">
        <v>1215</v>
      </c>
      <c r="I113" s="269" t="s">
        <v>1519</v>
      </c>
      <c r="J113" s="269"/>
    </row>
    <row r="114" spans="1:10">
      <c r="A114" s="177" t="s">
        <v>1041</v>
      </c>
      <c r="B114" s="177">
        <v>162</v>
      </c>
      <c r="C114" s="177">
        <v>60</v>
      </c>
      <c r="D114" s="177">
        <v>25</v>
      </c>
      <c r="E114" s="177">
        <v>33</v>
      </c>
      <c r="F114" s="223">
        <v>5.6</v>
      </c>
      <c r="G114" s="177" t="s">
        <v>1214</v>
      </c>
      <c r="H114" s="177" t="s">
        <v>1215</v>
      </c>
      <c r="I114" s="269" t="s">
        <v>1519</v>
      </c>
      <c r="J114" s="269"/>
    </row>
    <row r="115" spans="1:10">
      <c r="A115" s="177" t="s">
        <v>1041</v>
      </c>
      <c r="B115" s="177">
        <v>165</v>
      </c>
      <c r="C115" s="177">
        <v>65</v>
      </c>
      <c r="D115" s="177">
        <v>25</v>
      </c>
      <c r="E115" s="177">
        <v>27</v>
      </c>
      <c r="F115" s="223">
        <v>8</v>
      </c>
      <c r="G115" s="177" t="s">
        <v>1214</v>
      </c>
      <c r="H115" s="177" t="s">
        <v>1215</v>
      </c>
      <c r="I115" s="269" t="s">
        <v>1519</v>
      </c>
      <c r="J115" s="269"/>
    </row>
    <row r="116" spans="1:10">
      <c r="A116" s="177" t="s">
        <v>1041</v>
      </c>
      <c r="B116" s="177">
        <v>166</v>
      </c>
      <c r="C116" s="177">
        <v>65</v>
      </c>
      <c r="D116" s="177">
        <v>25</v>
      </c>
      <c r="E116" s="177">
        <v>32</v>
      </c>
      <c r="F116" s="223">
        <v>17.399999999999999</v>
      </c>
      <c r="G116" s="177" t="s">
        <v>1214</v>
      </c>
      <c r="H116" s="177" t="s">
        <v>1215</v>
      </c>
      <c r="I116" s="269" t="s">
        <v>1519</v>
      </c>
      <c r="J116" s="269"/>
    </row>
    <row r="117" spans="1:10">
      <c r="A117" s="177" t="s">
        <v>1041</v>
      </c>
      <c r="B117" s="177">
        <v>168</v>
      </c>
      <c r="C117" s="177">
        <v>65</v>
      </c>
      <c r="D117" s="177">
        <v>18</v>
      </c>
      <c r="E117" s="177">
        <v>21</v>
      </c>
      <c r="F117" s="223">
        <v>4.2</v>
      </c>
      <c r="G117" s="177" t="s">
        <v>1214</v>
      </c>
      <c r="H117" s="177" t="s">
        <v>1215</v>
      </c>
      <c r="I117" s="269" t="s">
        <v>1519</v>
      </c>
      <c r="J117" s="269"/>
    </row>
    <row r="118" spans="1:10">
      <c r="A118" s="177" t="s">
        <v>1041</v>
      </c>
      <c r="B118" s="177">
        <v>172</v>
      </c>
      <c r="C118" s="177">
        <v>70</v>
      </c>
      <c r="D118" s="177">
        <v>27</v>
      </c>
      <c r="E118" s="177">
        <v>37</v>
      </c>
      <c r="F118" s="223">
        <v>17.399999999999999</v>
      </c>
      <c r="G118" s="177" t="s">
        <v>1214</v>
      </c>
      <c r="H118" s="177" t="s">
        <v>1215</v>
      </c>
      <c r="I118" s="269" t="s">
        <v>1519</v>
      </c>
      <c r="J118" s="269"/>
    </row>
    <row r="119" spans="1:10">
      <c r="A119" s="177" t="s">
        <v>1041</v>
      </c>
      <c r="B119" s="177">
        <v>173</v>
      </c>
      <c r="C119" s="177">
        <v>71</v>
      </c>
      <c r="D119" s="177">
        <v>27</v>
      </c>
      <c r="E119" s="177">
        <v>29</v>
      </c>
      <c r="F119" s="223">
        <v>6.3</v>
      </c>
      <c r="G119" s="177" t="s">
        <v>1214</v>
      </c>
      <c r="H119" s="177" t="s">
        <v>1215</v>
      </c>
      <c r="I119" s="269" t="s">
        <v>1519</v>
      </c>
      <c r="J119" s="269"/>
    </row>
    <row r="120" spans="1:10">
      <c r="A120" s="177" t="s">
        <v>1041</v>
      </c>
      <c r="B120" s="177">
        <v>176</v>
      </c>
      <c r="C120" s="177">
        <v>80</v>
      </c>
      <c r="D120" s="177">
        <v>31</v>
      </c>
      <c r="E120" s="177">
        <v>35</v>
      </c>
      <c r="F120" s="223">
        <v>8.5</v>
      </c>
      <c r="G120" s="177" t="s">
        <v>1214</v>
      </c>
      <c r="H120" s="177" t="s">
        <v>1215</v>
      </c>
      <c r="I120" s="269" t="s">
        <v>1519</v>
      </c>
      <c r="J120" s="269"/>
    </row>
    <row r="121" spans="1:10">
      <c r="A121" s="177" t="s">
        <v>1041</v>
      </c>
      <c r="B121" s="177">
        <v>177</v>
      </c>
      <c r="C121" s="177">
        <v>80</v>
      </c>
      <c r="D121" s="177">
        <v>31</v>
      </c>
      <c r="E121" s="177">
        <v>39</v>
      </c>
      <c r="F121" s="223">
        <v>17.7</v>
      </c>
      <c r="G121" s="177" t="s">
        <v>1214</v>
      </c>
      <c r="H121" s="177" t="s">
        <v>1215</v>
      </c>
      <c r="I121" s="269" t="s">
        <v>1519</v>
      </c>
      <c r="J121" s="269"/>
    </row>
    <row r="122" spans="1:10">
      <c r="A122" s="177" t="s">
        <v>1041</v>
      </c>
      <c r="B122" s="177">
        <v>180</v>
      </c>
      <c r="C122" s="177">
        <v>81</v>
      </c>
      <c r="D122" s="177">
        <v>21</v>
      </c>
      <c r="E122" s="177">
        <v>32</v>
      </c>
      <c r="F122" s="223">
        <v>4.0999999999999996</v>
      </c>
      <c r="G122" s="177" t="s">
        <v>1214</v>
      </c>
      <c r="H122" s="177" t="s">
        <v>1215</v>
      </c>
      <c r="I122" s="269" t="s">
        <v>1519</v>
      </c>
      <c r="J122" s="269"/>
    </row>
    <row r="123" spans="1:10">
      <c r="A123" s="177" t="s">
        <v>1041</v>
      </c>
      <c r="B123" s="177">
        <v>185</v>
      </c>
      <c r="C123" s="177">
        <v>82</v>
      </c>
      <c r="D123" s="177">
        <v>29</v>
      </c>
      <c r="E123" s="177">
        <v>37</v>
      </c>
      <c r="F123" s="223">
        <v>9.4</v>
      </c>
      <c r="G123" s="177" t="s">
        <v>1214</v>
      </c>
      <c r="H123" s="177" t="s">
        <v>1215</v>
      </c>
      <c r="I123" s="269" t="s">
        <v>1519</v>
      </c>
      <c r="J123" s="269"/>
    </row>
    <row r="124" spans="1:10">
      <c r="A124" s="177" t="s">
        <v>1041</v>
      </c>
      <c r="B124" s="177">
        <v>188</v>
      </c>
      <c r="C124" s="177">
        <v>82</v>
      </c>
      <c r="D124" s="177">
        <v>24</v>
      </c>
      <c r="E124" s="177">
        <v>37</v>
      </c>
      <c r="F124" s="223">
        <v>15.6</v>
      </c>
      <c r="G124" s="177" t="s">
        <v>1214</v>
      </c>
      <c r="H124" s="177" t="s">
        <v>1215</v>
      </c>
      <c r="I124" s="269" t="s">
        <v>1519</v>
      </c>
      <c r="J124" s="269"/>
    </row>
    <row r="125" spans="1:10">
      <c r="A125" s="177" t="s">
        <v>1041</v>
      </c>
      <c r="B125" s="177">
        <v>189</v>
      </c>
      <c r="C125" s="177">
        <v>82</v>
      </c>
      <c r="D125" s="177">
        <v>22</v>
      </c>
      <c r="E125" s="177">
        <v>42</v>
      </c>
      <c r="F125" s="223">
        <v>23.3</v>
      </c>
      <c r="G125" s="177" t="s">
        <v>1214</v>
      </c>
      <c r="H125" s="177" t="s">
        <v>1215</v>
      </c>
      <c r="I125" s="269" t="s">
        <v>1519</v>
      </c>
      <c r="J125" s="269"/>
    </row>
    <row r="126" spans="1:10">
      <c r="A126" s="177" t="s">
        <v>1041</v>
      </c>
      <c r="B126" s="177">
        <v>193</v>
      </c>
      <c r="C126" s="177">
        <v>84</v>
      </c>
      <c r="D126" s="177">
        <v>28</v>
      </c>
      <c r="E126" s="177">
        <v>43</v>
      </c>
      <c r="F126" s="223">
        <v>11.9</v>
      </c>
      <c r="G126" s="177" t="s">
        <v>1214</v>
      </c>
      <c r="H126" s="177" t="s">
        <v>1215</v>
      </c>
      <c r="I126" s="269" t="s">
        <v>1519</v>
      </c>
      <c r="J126" s="269"/>
    </row>
    <row r="127" spans="1:10">
      <c r="A127" s="177" t="s">
        <v>1041</v>
      </c>
      <c r="B127" s="177">
        <v>194</v>
      </c>
      <c r="C127" s="177">
        <v>85</v>
      </c>
      <c r="D127" s="177">
        <v>31</v>
      </c>
      <c r="E127" s="177">
        <v>53</v>
      </c>
      <c r="F127" s="223">
        <v>30.1</v>
      </c>
      <c r="G127" s="177" t="s">
        <v>1214</v>
      </c>
      <c r="H127" s="177" t="s">
        <v>1215</v>
      </c>
      <c r="I127" s="269" t="s">
        <v>1519</v>
      </c>
      <c r="J127" s="269"/>
    </row>
    <row r="128" spans="1:10">
      <c r="A128" s="177" t="s">
        <v>1041</v>
      </c>
      <c r="B128" s="177">
        <v>196</v>
      </c>
      <c r="C128" s="177">
        <v>85</v>
      </c>
      <c r="D128" s="177">
        <v>30</v>
      </c>
      <c r="E128" s="177">
        <v>39</v>
      </c>
      <c r="F128" s="223">
        <v>14.8</v>
      </c>
      <c r="G128" s="177" t="s">
        <v>1214</v>
      </c>
      <c r="H128" s="177" t="s">
        <v>1215</v>
      </c>
      <c r="I128" s="269" t="s">
        <v>1519</v>
      </c>
      <c r="J128" s="269"/>
    </row>
    <row r="129" spans="1:10">
      <c r="A129" s="177" t="s">
        <v>1041</v>
      </c>
      <c r="B129" s="177">
        <v>197</v>
      </c>
      <c r="C129" s="177">
        <v>85</v>
      </c>
      <c r="D129" s="177">
        <v>31</v>
      </c>
      <c r="E129" s="177">
        <v>49</v>
      </c>
      <c r="F129" s="223">
        <v>16.399999999999999</v>
      </c>
      <c r="G129" s="177" t="s">
        <v>1214</v>
      </c>
      <c r="H129" s="177" t="s">
        <v>1215</v>
      </c>
      <c r="I129" s="269" t="s">
        <v>1519</v>
      </c>
      <c r="J129" s="269"/>
    </row>
    <row r="130" spans="1:10">
      <c r="A130" s="177" t="s">
        <v>1041</v>
      </c>
      <c r="B130" s="177">
        <v>198</v>
      </c>
      <c r="C130" s="177">
        <v>85</v>
      </c>
      <c r="D130" s="177">
        <v>31</v>
      </c>
      <c r="E130" s="177">
        <v>52</v>
      </c>
      <c r="F130" s="223">
        <v>14.3</v>
      </c>
      <c r="G130" s="177" t="s">
        <v>1214</v>
      </c>
      <c r="H130" s="177" t="s">
        <v>1215</v>
      </c>
      <c r="I130" s="269" t="s">
        <v>1519</v>
      </c>
      <c r="J130" s="269"/>
    </row>
    <row r="131" spans="1:10">
      <c r="A131" s="177" t="s">
        <v>1041</v>
      </c>
      <c r="B131" s="177">
        <v>201</v>
      </c>
      <c r="C131" s="177">
        <v>86</v>
      </c>
      <c r="D131" s="177">
        <v>33</v>
      </c>
      <c r="E131" s="177">
        <v>43</v>
      </c>
      <c r="F131" s="223">
        <v>16.7</v>
      </c>
      <c r="G131" s="177" t="s">
        <v>1214</v>
      </c>
      <c r="H131" s="177" t="s">
        <v>1215</v>
      </c>
      <c r="I131" s="269" t="s">
        <v>1519</v>
      </c>
      <c r="J131" s="269"/>
    </row>
    <row r="132" spans="1:10">
      <c r="A132" s="177" t="s">
        <v>1041</v>
      </c>
      <c r="B132" s="177">
        <v>202</v>
      </c>
      <c r="C132" s="177">
        <v>91</v>
      </c>
      <c r="D132" s="177">
        <v>31</v>
      </c>
      <c r="E132" s="177">
        <v>36</v>
      </c>
      <c r="F132" s="223">
        <v>8.6999999999999993</v>
      </c>
      <c r="G132" s="177" t="s">
        <v>1214</v>
      </c>
      <c r="H132" s="177" t="s">
        <v>1215</v>
      </c>
      <c r="I132" s="269" t="s">
        <v>1519</v>
      </c>
      <c r="J132" s="269"/>
    </row>
    <row r="133" spans="1:10">
      <c r="A133" s="177" t="s">
        <v>1041</v>
      </c>
      <c r="B133" s="177">
        <v>205</v>
      </c>
      <c r="C133" s="177">
        <v>97</v>
      </c>
      <c r="D133" s="177">
        <v>30</v>
      </c>
      <c r="E133" s="177">
        <v>42</v>
      </c>
      <c r="F133" s="223">
        <v>15.2</v>
      </c>
      <c r="G133" s="177" t="s">
        <v>1214</v>
      </c>
      <c r="H133" s="177" t="s">
        <v>1215</v>
      </c>
      <c r="I133" s="269" t="s">
        <v>1519</v>
      </c>
      <c r="J133" s="269"/>
    </row>
    <row r="134" spans="1:10">
      <c r="A134" s="177" t="s">
        <v>1041</v>
      </c>
      <c r="B134" s="177">
        <v>206</v>
      </c>
      <c r="C134" s="177">
        <v>98</v>
      </c>
      <c r="D134" s="177">
        <v>34</v>
      </c>
      <c r="E134" s="177">
        <v>50</v>
      </c>
      <c r="F134" s="223">
        <v>26.1</v>
      </c>
      <c r="G134" s="177" t="s">
        <v>1214</v>
      </c>
      <c r="H134" s="177" t="s">
        <v>1215</v>
      </c>
      <c r="I134" s="269" t="s">
        <v>1519</v>
      </c>
      <c r="J134" s="269"/>
    </row>
    <row r="135" spans="1:10">
      <c r="A135" s="177" t="s">
        <v>1041</v>
      </c>
      <c r="B135" s="177">
        <v>207</v>
      </c>
      <c r="C135" s="177">
        <v>113</v>
      </c>
      <c r="D135" s="177">
        <v>25</v>
      </c>
      <c r="E135" s="177">
        <v>50</v>
      </c>
      <c r="F135" s="223">
        <v>19.100000000000001</v>
      </c>
      <c r="G135" s="177" t="s">
        <v>1214</v>
      </c>
      <c r="H135" s="177" t="s">
        <v>1215</v>
      </c>
      <c r="I135" s="269" t="s">
        <v>1519</v>
      </c>
      <c r="J135" s="269"/>
    </row>
    <row r="136" spans="1:10">
      <c r="A136" s="177" t="s">
        <v>1041</v>
      </c>
      <c r="B136" s="177">
        <v>208</v>
      </c>
      <c r="C136" s="177">
        <v>119</v>
      </c>
      <c r="D136" s="177">
        <v>22</v>
      </c>
      <c r="E136" s="177">
        <v>29</v>
      </c>
      <c r="F136" s="223">
        <v>4.5999999999999996</v>
      </c>
      <c r="G136" s="177" t="s">
        <v>1214</v>
      </c>
      <c r="H136" s="177" t="s">
        <v>1215</v>
      </c>
      <c r="I136" s="269" t="s">
        <v>1519</v>
      </c>
      <c r="J136" s="269"/>
    </row>
    <row r="137" spans="1:10">
      <c r="A137" s="177" t="s">
        <v>1041</v>
      </c>
      <c r="B137" s="177">
        <v>209</v>
      </c>
      <c r="C137" s="177">
        <v>119</v>
      </c>
      <c r="D137" s="177">
        <v>31</v>
      </c>
      <c r="E137" s="177">
        <v>40</v>
      </c>
      <c r="F137" s="223">
        <v>15.8</v>
      </c>
      <c r="G137" s="177" t="s">
        <v>1214</v>
      </c>
      <c r="H137" s="177" t="s">
        <v>1215</v>
      </c>
      <c r="I137" s="269" t="s">
        <v>1519</v>
      </c>
      <c r="J137" s="269"/>
    </row>
    <row r="138" spans="1:10">
      <c r="A138" s="177" t="s">
        <v>1041</v>
      </c>
      <c r="B138" s="177">
        <v>210</v>
      </c>
      <c r="C138" s="177">
        <v>119</v>
      </c>
      <c r="D138" s="177">
        <v>33</v>
      </c>
      <c r="E138" s="177">
        <v>41</v>
      </c>
      <c r="F138" s="223">
        <v>9.3000000000000007</v>
      </c>
      <c r="G138" s="177" t="s">
        <v>1214</v>
      </c>
      <c r="H138" s="177" t="s">
        <v>1215</v>
      </c>
      <c r="I138" s="269" t="s">
        <v>1519</v>
      </c>
    </row>
    <row r="139" spans="1:10">
      <c r="A139" s="177" t="s">
        <v>1041</v>
      </c>
      <c r="B139" s="177">
        <v>8</v>
      </c>
      <c r="C139" s="177">
        <v>20</v>
      </c>
      <c r="D139" s="177">
        <v>7.1</v>
      </c>
      <c r="E139" s="177">
        <v>6</v>
      </c>
      <c r="F139" s="223">
        <v>0.6</v>
      </c>
      <c r="G139" s="177" t="s">
        <v>1214</v>
      </c>
      <c r="H139" s="177" t="s">
        <v>1215</v>
      </c>
      <c r="I139" s="269" t="s">
        <v>1469</v>
      </c>
      <c r="J139" s="269"/>
    </row>
    <row r="140" spans="1:10">
      <c r="A140" s="177" t="s">
        <v>1041</v>
      </c>
      <c r="B140" s="177">
        <v>9</v>
      </c>
      <c r="C140" s="177">
        <v>20</v>
      </c>
      <c r="D140" s="177">
        <v>8.1</v>
      </c>
      <c r="E140" s="177">
        <v>6.4</v>
      </c>
      <c r="F140" s="223">
        <v>0.6</v>
      </c>
      <c r="G140" s="177" t="s">
        <v>1214</v>
      </c>
      <c r="H140" s="177" t="s">
        <v>1215</v>
      </c>
      <c r="I140" s="269" t="s">
        <v>1469</v>
      </c>
      <c r="J140" s="269"/>
    </row>
    <row r="141" spans="1:10">
      <c r="A141" s="177" t="s">
        <v>1041</v>
      </c>
      <c r="B141" s="177">
        <v>11</v>
      </c>
      <c r="C141" s="177">
        <v>20</v>
      </c>
      <c r="D141" s="177">
        <v>8.1999999999999993</v>
      </c>
      <c r="E141" s="177">
        <v>9</v>
      </c>
      <c r="F141" s="223">
        <v>1.46</v>
      </c>
      <c r="G141" s="177" t="s">
        <v>1214</v>
      </c>
      <c r="H141" s="177" t="s">
        <v>1215</v>
      </c>
      <c r="I141" s="269" t="s">
        <v>1469</v>
      </c>
      <c r="J141" s="269"/>
    </row>
    <row r="142" spans="1:10">
      <c r="A142" s="177" t="s">
        <v>1041</v>
      </c>
      <c r="B142" s="177">
        <v>16</v>
      </c>
      <c r="C142" s="177">
        <v>20</v>
      </c>
      <c r="D142" s="177">
        <v>7</v>
      </c>
      <c r="E142" s="177">
        <v>7.8</v>
      </c>
      <c r="F142" s="223">
        <v>1.67</v>
      </c>
      <c r="G142" s="177" t="s">
        <v>1214</v>
      </c>
      <c r="H142" s="177" t="s">
        <v>1215</v>
      </c>
      <c r="I142" s="269" t="s">
        <v>1469</v>
      </c>
      <c r="J142" s="269"/>
    </row>
    <row r="143" spans="1:10">
      <c r="A143" s="177" t="s">
        <v>1041</v>
      </c>
      <c r="B143" s="177">
        <v>18</v>
      </c>
      <c r="C143" s="177">
        <v>20</v>
      </c>
      <c r="D143" s="177">
        <v>8.1</v>
      </c>
      <c r="E143" s="177">
        <v>7.4</v>
      </c>
      <c r="F143" s="223">
        <v>1.28</v>
      </c>
      <c r="G143" s="177" t="s">
        <v>1214</v>
      </c>
      <c r="H143" s="177" t="s">
        <v>1215</v>
      </c>
      <c r="I143" s="269" t="s">
        <v>1469</v>
      </c>
      <c r="J143" s="269"/>
    </row>
    <row r="144" spans="1:10">
      <c r="A144" s="177" t="s">
        <v>1041</v>
      </c>
      <c r="B144" s="177">
        <v>23</v>
      </c>
      <c r="C144" s="177">
        <v>20</v>
      </c>
      <c r="D144" s="177">
        <v>7</v>
      </c>
      <c r="E144" s="177">
        <v>9.1</v>
      </c>
      <c r="F144" s="223">
        <v>2.54</v>
      </c>
      <c r="G144" s="177" t="s">
        <v>1214</v>
      </c>
      <c r="H144" s="177" t="s">
        <v>1215</v>
      </c>
      <c r="I144" s="269" t="s">
        <v>1469</v>
      </c>
      <c r="J144" s="269"/>
    </row>
    <row r="145" spans="1:10">
      <c r="A145" s="177" t="s">
        <v>1041</v>
      </c>
      <c r="B145" s="177">
        <v>28</v>
      </c>
      <c r="C145" s="177">
        <v>20</v>
      </c>
      <c r="D145" s="177">
        <v>7.7</v>
      </c>
      <c r="E145" s="177">
        <v>8.6999999999999993</v>
      </c>
      <c r="F145" s="223">
        <v>2.3199999999999998</v>
      </c>
      <c r="G145" s="177" t="s">
        <v>1214</v>
      </c>
      <c r="H145" s="177" t="s">
        <v>1215</v>
      </c>
      <c r="I145" s="269" t="s">
        <v>1469</v>
      </c>
      <c r="J145" s="269"/>
    </row>
    <row r="146" spans="1:10">
      <c r="A146" s="177" t="s">
        <v>1041</v>
      </c>
      <c r="B146" s="177">
        <v>30</v>
      </c>
      <c r="C146" s="177">
        <v>20</v>
      </c>
      <c r="D146" s="177">
        <v>7.8</v>
      </c>
      <c r="E146" s="177">
        <v>6.8</v>
      </c>
      <c r="F146" s="223">
        <v>2.1</v>
      </c>
      <c r="G146" s="177" t="s">
        <v>1214</v>
      </c>
      <c r="H146" s="177" t="s">
        <v>1215</v>
      </c>
      <c r="I146" s="269" t="s">
        <v>1469</v>
      </c>
      <c r="J146" s="269"/>
    </row>
    <row r="147" spans="1:10">
      <c r="A147" s="177" t="s">
        <v>1041</v>
      </c>
      <c r="B147" s="177">
        <v>35</v>
      </c>
      <c r="C147" s="177">
        <v>20</v>
      </c>
      <c r="D147" s="177">
        <v>8.5</v>
      </c>
      <c r="E147" s="177">
        <v>7.4</v>
      </c>
      <c r="F147" s="223">
        <v>1.1000000000000001</v>
      </c>
      <c r="G147" s="177" t="s">
        <v>1214</v>
      </c>
      <c r="H147" s="177" t="s">
        <v>1215</v>
      </c>
      <c r="I147" s="269" t="s">
        <v>1469</v>
      </c>
      <c r="J147" s="269"/>
    </row>
    <row r="148" spans="1:10">
      <c r="A148" s="177" t="s">
        <v>1041</v>
      </c>
      <c r="B148" s="177">
        <v>36</v>
      </c>
      <c r="C148" s="177">
        <v>20</v>
      </c>
      <c r="D148" s="177">
        <v>8.6</v>
      </c>
      <c r="E148" s="177">
        <v>8.1999999999999993</v>
      </c>
      <c r="F148" s="223">
        <v>1.74</v>
      </c>
      <c r="G148" s="177" t="s">
        <v>1214</v>
      </c>
      <c r="H148" s="177" t="s">
        <v>1215</v>
      </c>
      <c r="I148" s="269" t="s">
        <v>1469</v>
      </c>
      <c r="J148" s="269"/>
    </row>
    <row r="149" spans="1:10">
      <c r="A149" s="177" t="s">
        <v>1041</v>
      </c>
      <c r="B149" s="177">
        <v>41</v>
      </c>
      <c r="C149" s="177">
        <v>20</v>
      </c>
      <c r="D149" s="177">
        <v>6.3</v>
      </c>
      <c r="E149" s="177">
        <v>7.2</v>
      </c>
      <c r="F149" s="223">
        <v>1.1599999999999999</v>
      </c>
      <c r="G149" s="177" t="s">
        <v>1214</v>
      </c>
      <c r="H149" s="177" t="s">
        <v>1215</v>
      </c>
      <c r="I149" s="270" t="s">
        <v>1469</v>
      </c>
      <c r="J149" s="269"/>
    </row>
    <row r="150" spans="1:10">
      <c r="A150" s="177" t="s">
        <v>1041</v>
      </c>
      <c r="B150" s="177">
        <v>42</v>
      </c>
      <c r="C150" s="177">
        <v>20</v>
      </c>
      <c r="D150" s="177">
        <v>6.2</v>
      </c>
      <c r="E150" s="177">
        <v>8.1999999999999993</v>
      </c>
      <c r="F150" s="223">
        <v>1.47</v>
      </c>
      <c r="G150" s="177" t="s">
        <v>1214</v>
      </c>
      <c r="H150" s="177" t="s">
        <v>1215</v>
      </c>
      <c r="I150" s="269" t="s">
        <v>1469</v>
      </c>
      <c r="J150" s="269"/>
    </row>
    <row r="151" spans="1:10">
      <c r="A151" s="177" t="s">
        <v>1041</v>
      </c>
      <c r="B151" s="177">
        <v>45</v>
      </c>
      <c r="C151" s="177">
        <v>20</v>
      </c>
      <c r="D151" s="177">
        <v>7.6</v>
      </c>
      <c r="E151" s="177">
        <v>9.1</v>
      </c>
      <c r="F151" s="223">
        <v>1.8</v>
      </c>
      <c r="G151" s="177" t="s">
        <v>1214</v>
      </c>
      <c r="H151" s="177" t="s">
        <v>1215</v>
      </c>
      <c r="I151" s="269" t="s">
        <v>1469</v>
      </c>
      <c r="J151" s="269"/>
    </row>
    <row r="152" spans="1:10">
      <c r="A152" s="177" t="s">
        <v>1041</v>
      </c>
      <c r="B152" s="177">
        <v>46</v>
      </c>
      <c r="C152" s="177">
        <v>20</v>
      </c>
      <c r="D152" s="177">
        <v>7</v>
      </c>
      <c r="E152" s="177">
        <v>9.8000000000000007</v>
      </c>
      <c r="F152" s="223">
        <v>2.1</v>
      </c>
      <c r="G152" s="177" t="s">
        <v>1214</v>
      </c>
      <c r="H152" s="177" t="s">
        <v>1215</v>
      </c>
      <c r="I152" s="269" t="s">
        <v>1469</v>
      </c>
      <c r="J152" s="269"/>
    </row>
    <row r="153" spans="1:10">
      <c r="A153" s="177" t="s">
        <v>1041</v>
      </c>
      <c r="B153" s="177">
        <v>49</v>
      </c>
      <c r="C153" s="177">
        <v>20</v>
      </c>
      <c r="D153" s="177">
        <v>7.4</v>
      </c>
      <c r="E153" s="177">
        <v>8.8000000000000007</v>
      </c>
      <c r="F153" s="223">
        <v>2.34</v>
      </c>
      <c r="G153" s="177" t="s">
        <v>1214</v>
      </c>
      <c r="H153" s="177" t="s">
        <v>1215</v>
      </c>
      <c r="I153" s="269" t="s">
        <v>1469</v>
      </c>
      <c r="J153" s="269"/>
    </row>
    <row r="154" spans="1:10">
      <c r="A154" s="177" t="s">
        <v>1041</v>
      </c>
      <c r="B154" s="177">
        <v>50</v>
      </c>
      <c r="C154" s="177">
        <v>20</v>
      </c>
      <c r="D154" s="177">
        <v>7.5</v>
      </c>
      <c r="E154" s="177">
        <v>9.4</v>
      </c>
      <c r="F154" s="223">
        <v>2.2000000000000002</v>
      </c>
      <c r="G154" s="177" t="s">
        <v>1214</v>
      </c>
      <c r="H154" s="177" t="s">
        <v>1215</v>
      </c>
      <c r="I154" s="269" t="s">
        <v>1469</v>
      </c>
      <c r="J154" s="269"/>
    </row>
    <row r="155" spans="1:10">
      <c r="A155" s="177" t="s">
        <v>1041</v>
      </c>
      <c r="B155" s="177">
        <v>54</v>
      </c>
      <c r="C155" s="177">
        <v>21</v>
      </c>
      <c r="D155" s="177">
        <v>6.6</v>
      </c>
      <c r="E155" s="177">
        <v>5.2</v>
      </c>
      <c r="F155" s="223">
        <v>0.71</v>
      </c>
      <c r="G155" s="177" t="s">
        <v>1214</v>
      </c>
      <c r="H155" s="177" t="s">
        <v>1215</v>
      </c>
      <c r="I155" s="269" t="s">
        <v>1469</v>
      </c>
      <c r="J155" s="269"/>
    </row>
    <row r="156" spans="1:10">
      <c r="A156" s="177" t="s">
        <v>1041</v>
      </c>
      <c r="B156" s="177">
        <v>56</v>
      </c>
      <c r="C156" s="177">
        <v>21</v>
      </c>
      <c r="D156" s="177">
        <v>7</v>
      </c>
      <c r="E156" s="177">
        <v>6.8</v>
      </c>
      <c r="F156" s="223">
        <v>1.1200000000000001</v>
      </c>
      <c r="G156" s="177" t="s">
        <v>1214</v>
      </c>
      <c r="H156" s="177" t="s">
        <v>1215</v>
      </c>
      <c r="I156" s="269" t="s">
        <v>1469</v>
      </c>
      <c r="J156" s="269"/>
    </row>
    <row r="157" spans="1:10">
      <c r="A157" s="177" t="s">
        <v>1041</v>
      </c>
      <c r="B157" s="177">
        <v>62</v>
      </c>
      <c r="C157" s="177">
        <v>21</v>
      </c>
      <c r="D157" s="177">
        <v>8.6</v>
      </c>
      <c r="E157" s="177">
        <v>9.4</v>
      </c>
      <c r="F157" s="223">
        <v>2.4300000000000002</v>
      </c>
      <c r="G157" s="177" t="s">
        <v>1214</v>
      </c>
      <c r="H157" s="177" t="s">
        <v>1215</v>
      </c>
      <c r="I157" s="269" t="s">
        <v>1469</v>
      </c>
      <c r="J157" s="269"/>
    </row>
    <row r="158" spans="1:10">
      <c r="A158" s="177" t="s">
        <v>1041</v>
      </c>
      <c r="B158" s="177">
        <v>63</v>
      </c>
      <c r="C158" s="177">
        <v>21</v>
      </c>
      <c r="D158" s="177">
        <v>8.8000000000000007</v>
      </c>
      <c r="E158" s="177">
        <v>9.6</v>
      </c>
      <c r="F158" s="223">
        <v>2.57</v>
      </c>
      <c r="G158" s="177" t="s">
        <v>1214</v>
      </c>
      <c r="H158" s="177" t="s">
        <v>1215</v>
      </c>
      <c r="I158" s="269" t="s">
        <v>1469</v>
      </c>
      <c r="J158" s="269"/>
    </row>
    <row r="159" spans="1:10">
      <c r="A159" s="177" t="s">
        <v>1041</v>
      </c>
      <c r="B159" s="177">
        <v>64</v>
      </c>
      <c r="C159" s="177">
        <v>21</v>
      </c>
      <c r="D159" s="177">
        <v>9.4</v>
      </c>
      <c r="E159" s="177">
        <v>11.2</v>
      </c>
      <c r="F159" s="223">
        <v>4.1100000000000003</v>
      </c>
      <c r="G159" s="177" t="s">
        <v>1214</v>
      </c>
      <c r="H159" s="177" t="s">
        <v>1215</v>
      </c>
      <c r="I159" s="269" t="s">
        <v>1469</v>
      </c>
      <c r="J159" s="269"/>
    </row>
    <row r="160" spans="1:10">
      <c r="A160" s="177" t="s">
        <v>1041</v>
      </c>
      <c r="B160" s="177">
        <v>66</v>
      </c>
      <c r="C160" s="177">
        <v>21</v>
      </c>
      <c r="D160" s="177">
        <v>9</v>
      </c>
      <c r="E160" s="177">
        <v>13.3</v>
      </c>
      <c r="F160" s="223">
        <v>6.52</v>
      </c>
      <c r="G160" s="177" t="s">
        <v>1214</v>
      </c>
      <c r="H160" s="177" t="s">
        <v>1215</v>
      </c>
      <c r="I160" s="269" t="s">
        <v>1469</v>
      </c>
      <c r="J160" s="269"/>
    </row>
    <row r="161" spans="1:10">
      <c r="A161" s="177" t="s">
        <v>1041</v>
      </c>
      <c r="B161" s="177">
        <v>84</v>
      </c>
      <c r="C161" s="177">
        <v>22</v>
      </c>
      <c r="D161" s="177">
        <v>9.8000000000000007</v>
      </c>
      <c r="E161" s="177">
        <v>10.8</v>
      </c>
      <c r="F161" s="223">
        <v>1.94</v>
      </c>
      <c r="G161" s="177" t="s">
        <v>1214</v>
      </c>
      <c r="H161" s="177" t="s">
        <v>1215</v>
      </c>
      <c r="I161" s="269" t="s">
        <v>1469</v>
      </c>
      <c r="J161" s="269"/>
    </row>
    <row r="162" spans="1:10">
      <c r="A162" s="177" t="s">
        <v>1041</v>
      </c>
      <c r="B162" s="177">
        <v>68</v>
      </c>
      <c r="C162" s="177">
        <v>24</v>
      </c>
      <c r="D162" s="177">
        <v>9</v>
      </c>
      <c r="E162" s="177">
        <v>9.6</v>
      </c>
      <c r="F162" s="223">
        <v>1.99</v>
      </c>
      <c r="G162" s="177" t="s">
        <v>1214</v>
      </c>
      <c r="H162" s="177" t="s">
        <v>1215</v>
      </c>
      <c r="I162" s="269" t="s">
        <v>1469</v>
      </c>
      <c r="J162" s="269"/>
    </row>
    <row r="163" spans="1:10">
      <c r="A163" s="177" t="s">
        <v>1041</v>
      </c>
      <c r="B163" s="177">
        <v>71</v>
      </c>
      <c r="C163" s="177">
        <v>24</v>
      </c>
      <c r="D163" s="177">
        <v>11.6</v>
      </c>
      <c r="E163" s="177">
        <v>11</v>
      </c>
      <c r="F163" s="223">
        <v>1.91</v>
      </c>
      <c r="G163" s="177" t="s">
        <v>1214</v>
      </c>
      <c r="H163" s="177" t="s">
        <v>1215</v>
      </c>
      <c r="I163" s="269" t="s">
        <v>1469</v>
      </c>
      <c r="J163" s="269"/>
    </row>
    <row r="164" spans="1:10">
      <c r="A164" s="177" t="s">
        <v>1041</v>
      </c>
      <c r="B164" s="177">
        <v>74</v>
      </c>
      <c r="C164" s="177">
        <v>24</v>
      </c>
      <c r="D164" s="177">
        <v>12</v>
      </c>
      <c r="E164" s="177">
        <v>10.8</v>
      </c>
      <c r="F164" s="223">
        <v>1.1100000000000001</v>
      </c>
      <c r="G164" s="177" t="s">
        <v>1214</v>
      </c>
      <c r="H164" s="177" t="s">
        <v>1215</v>
      </c>
      <c r="I164" s="269" t="s">
        <v>1469</v>
      </c>
      <c r="J164" s="269"/>
    </row>
    <row r="165" spans="1:10">
      <c r="A165" s="177" t="s">
        <v>1041</v>
      </c>
      <c r="B165" s="177">
        <v>76</v>
      </c>
      <c r="C165" s="177">
        <v>25</v>
      </c>
      <c r="D165" s="177">
        <v>10.8</v>
      </c>
      <c r="E165" s="177">
        <v>11.3</v>
      </c>
      <c r="F165" s="223">
        <v>1.96</v>
      </c>
      <c r="G165" s="177" t="s">
        <v>1214</v>
      </c>
      <c r="H165" s="177" t="s">
        <v>1215</v>
      </c>
      <c r="I165" s="269" t="s">
        <v>1469</v>
      </c>
      <c r="J165" s="269"/>
    </row>
    <row r="166" spans="1:10">
      <c r="A166" s="177" t="s">
        <v>1041</v>
      </c>
      <c r="B166" s="177">
        <v>77</v>
      </c>
      <c r="C166" s="177">
        <v>25</v>
      </c>
      <c r="D166" s="177">
        <v>9</v>
      </c>
      <c r="E166" s="177">
        <v>8.6</v>
      </c>
      <c r="F166" s="223">
        <v>1.45</v>
      </c>
      <c r="G166" s="177" t="s">
        <v>1214</v>
      </c>
      <c r="H166" s="177" t="s">
        <v>1215</v>
      </c>
      <c r="I166" s="269" t="s">
        <v>1469</v>
      </c>
      <c r="J166" s="269"/>
    </row>
    <row r="167" spans="1:10">
      <c r="A167" s="177" t="s">
        <v>1041</v>
      </c>
      <c r="B167" s="177">
        <v>79</v>
      </c>
      <c r="C167" s="177">
        <v>25</v>
      </c>
      <c r="D167" s="177">
        <v>9.6</v>
      </c>
      <c r="E167" s="177">
        <v>9</v>
      </c>
      <c r="F167" s="223">
        <v>1.82</v>
      </c>
      <c r="G167" s="177" t="s">
        <v>1214</v>
      </c>
      <c r="H167" s="177" t="s">
        <v>1215</v>
      </c>
      <c r="I167" s="269" t="s">
        <v>1469</v>
      </c>
      <c r="J167" s="269"/>
    </row>
    <row r="168" spans="1:10">
      <c r="A168" s="177" t="s">
        <v>1041</v>
      </c>
      <c r="B168" s="177">
        <v>80</v>
      </c>
      <c r="C168" s="177">
        <v>25</v>
      </c>
      <c r="D168" s="177">
        <v>12.4</v>
      </c>
      <c r="E168" s="177">
        <v>10.1</v>
      </c>
      <c r="F168" s="223">
        <v>2.06</v>
      </c>
      <c r="G168" s="177" t="s">
        <v>1214</v>
      </c>
      <c r="H168" s="177" t="s">
        <v>1215</v>
      </c>
      <c r="I168" s="269" t="s">
        <v>1469</v>
      </c>
      <c r="J168" s="269"/>
    </row>
    <row r="169" spans="1:10">
      <c r="A169" s="177" t="s">
        <v>1041</v>
      </c>
      <c r="B169" s="177">
        <v>88</v>
      </c>
      <c r="C169" s="177">
        <v>28</v>
      </c>
      <c r="D169" s="177">
        <v>10.199999999999999</v>
      </c>
      <c r="E169" s="177">
        <v>9.8000000000000007</v>
      </c>
      <c r="F169" s="223">
        <v>0.75</v>
      </c>
      <c r="G169" s="177" t="s">
        <v>1214</v>
      </c>
      <c r="H169" s="177" t="s">
        <v>1215</v>
      </c>
      <c r="I169" s="269" t="s">
        <v>1469</v>
      </c>
      <c r="J169" s="269"/>
    </row>
    <row r="170" spans="1:10">
      <c r="A170" s="177" t="s">
        <v>1041</v>
      </c>
      <c r="B170" s="177">
        <v>89</v>
      </c>
      <c r="C170" s="177">
        <v>28</v>
      </c>
      <c r="D170" s="177">
        <v>11.2</v>
      </c>
      <c r="E170" s="177">
        <v>10</v>
      </c>
      <c r="F170" s="223">
        <v>1.03</v>
      </c>
      <c r="G170" s="177" t="s">
        <v>1214</v>
      </c>
      <c r="H170" s="177" t="s">
        <v>1215</v>
      </c>
      <c r="I170" s="269" t="s">
        <v>1469</v>
      </c>
      <c r="J170" s="269"/>
    </row>
    <row r="171" spans="1:10">
      <c r="A171" s="177" t="s">
        <v>1041</v>
      </c>
      <c r="B171" s="177">
        <v>91</v>
      </c>
      <c r="C171" s="177">
        <v>28</v>
      </c>
      <c r="D171" s="177">
        <v>13.6</v>
      </c>
      <c r="E171" s="177">
        <v>12.4</v>
      </c>
      <c r="F171" s="223">
        <v>1.52</v>
      </c>
      <c r="G171" s="177" t="s">
        <v>1214</v>
      </c>
      <c r="H171" s="177" t="s">
        <v>1215</v>
      </c>
      <c r="I171" s="269" t="s">
        <v>1469</v>
      </c>
      <c r="J171" s="269"/>
    </row>
    <row r="172" spans="1:10">
      <c r="A172" s="177" t="s">
        <v>1041</v>
      </c>
      <c r="B172" s="177">
        <v>92</v>
      </c>
      <c r="C172" s="177">
        <v>28</v>
      </c>
      <c r="D172" s="177">
        <v>14.2</v>
      </c>
      <c r="E172" s="177">
        <v>13.8</v>
      </c>
      <c r="F172" s="223">
        <v>2.15</v>
      </c>
      <c r="G172" s="177" t="s">
        <v>1214</v>
      </c>
      <c r="H172" s="177" t="s">
        <v>1215</v>
      </c>
      <c r="I172" s="269" t="s">
        <v>1469</v>
      </c>
      <c r="J172" s="269"/>
    </row>
    <row r="173" spans="1:10">
      <c r="A173" s="177" t="s">
        <v>1041</v>
      </c>
      <c r="B173" s="177">
        <v>94</v>
      </c>
      <c r="C173" s="177">
        <v>28</v>
      </c>
      <c r="D173" s="177">
        <v>15</v>
      </c>
      <c r="E173" s="177">
        <v>12.6</v>
      </c>
      <c r="F173" s="223">
        <v>1.5</v>
      </c>
      <c r="G173" s="177" t="s">
        <v>1214</v>
      </c>
      <c r="H173" s="177" t="s">
        <v>1215</v>
      </c>
      <c r="I173" s="269" t="s">
        <v>1469</v>
      </c>
      <c r="J173" s="269"/>
    </row>
    <row r="174" spans="1:10">
      <c r="A174" s="177" t="s">
        <v>1041</v>
      </c>
      <c r="B174" s="177">
        <v>97</v>
      </c>
      <c r="C174" s="177">
        <v>32</v>
      </c>
      <c r="D174" s="177">
        <v>10</v>
      </c>
      <c r="E174" s="177">
        <v>13</v>
      </c>
      <c r="F174" s="223">
        <v>3.2</v>
      </c>
      <c r="G174" s="177" t="s">
        <v>1214</v>
      </c>
      <c r="H174" s="177" t="s">
        <v>1215</v>
      </c>
      <c r="I174" s="269" t="s">
        <v>1469</v>
      </c>
      <c r="J174" s="269"/>
    </row>
    <row r="175" spans="1:10">
      <c r="A175" s="177" t="s">
        <v>1041</v>
      </c>
      <c r="B175" s="177">
        <v>101</v>
      </c>
      <c r="C175" s="177">
        <v>32</v>
      </c>
      <c r="D175" s="177">
        <v>13</v>
      </c>
      <c r="E175" s="177">
        <v>15</v>
      </c>
      <c r="F175" s="223">
        <v>2.7</v>
      </c>
      <c r="G175" s="177" t="s">
        <v>1214</v>
      </c>
      <c r="H175" s="177" t="s">
        <v>1215</v>
      </c>
      <c r="I175" s="269" t="s">
        <v>1469</v>
      </c>
      <c r="J175" s="269"/>
    </row>
    <row r="176" spans="1:10">
      <c r="A176" s="177" t="s">
        <v>1041</v>
      </c>
      <c r="B176" s="177">
        <v>104</v>
      </c>
      <c r="C176" s="177">
        <v>32</v>
      </c>
      <c r="D176" s="177">
        <v>11</v>
      </c>
      <c r="E176" s="177">
        <v>14</v>
      </c>
      <c r="F176" s="223">
        <v>2.4</v>
      </c>
      <c r="G176" s="177" t="s">
        <v>1214</v>
      </c>
      <c r="H176" s="177" t="s">
        <v>1215</v>
      </c>
      <c r="I176" s="269" t="s">
        <v>1469</v>
      </c>
      <c r="J176" s="269"/>
    </row>
    <row r="177" spans="1:10">
      <c r="A177" s="177" t="s">
        <v>1041</v>
      </c>
      <c r="B177" s="177">
        <v>109</v>
      </c>
      <c r="C177" s="177">
        <v>32</v>
      </c>
      <c r="D177" s="177">
        <v>12</v>
      </c>
      <c r="E177" s="177">
        <v>14</v>
      </c>
      <c r="F177" s="223">
        <v>2.8</v>
      </c>
      <c r="G177" s="177" t="s">
        <v>1214</v>
      </c>
      <c r="H177" s="177" t="s">
        <v>1215</v>
      </c>
      <c r="I177" s="269" t="s">
        <v>1469</v>
      </c>
      <c r="J177" s="269"/>
    </row>
    <row r="178" spans="1:10">
      <c r="A178" s="177" t="s">
        <v>1041</v>
      </c>
      <c r="B178" s="177">
        <v>113</v>
      </c>
      <c r="C178" s="177">
        <v>32</v>
      </c>
      <c r="D178" s="177">
        <v>10</v>
      </c>
      <c r="E178" s="177">
        <v>11</v>
      </c>
      <c r="F178" s="223">
        <v>1.6</v>
      </c>
      <c r="G178" s="177" t="s">
        <v>1214</v>
      </c>
      <c r="H178" s="177" t="s">
        <v>1215</v>
      </c>
      <c r="I178" s="269" t="s">
        <v>1469</v>
      </c>
      <c r="J178" s="269"/>
    </row>
    <row r="179" spans="1:10">
      <c r="A179" s="177" t="s">
        <v>1041</v>
      </c>
      <c r="B179" s="177">
        <v>114</v>
      </c>
      <c r="C179" s="177">
        <v>32</v>
      </c>
      <c r="D179" s="177">
        <v>10</v>
      </c>
      <c r="E179" s="177">
        <v>13</v>
      </c>
      <c r="F179" s="223">
        <v>1.6</v>
      </c>
      <c r="G179" s="177" t="s">
        <v>1214</v>
      </c>
      <c r="H179" s="177" t="s">
        <v>1215</v>
      </c>
      <c r="I179" s="269" t="s">
        <v>1469</v>
      </c>
      <c r="J179" s="269"/>
    </row>
    <row r="180" spans="1:10">
      <c r="A180" s="177" t="s">
        <v>1041</v>
      </c>
      <c r="B180" s="177">
        <v>117</v>
      </c>
      <c r="C180" s="177">
        <v>32</v>
      </c>
      <c r="D180" s="177">
        <v>9</v>
      </c>
      <c r="E180" s="177">
        <v>10</v>
      </c>
      <c r="F180" s="223">
        <v>1.6</v>
      </c>
      <c r="G180" s="177" t="s">
        <v>1214</v>
      </c>
      <c r="H180" s="177" t="s">
        <v>1215</v>
      </c>
      <c r="I180" s="269" t="s">
        <v>1469</v>
      </c>
      <c r="J180" s="269"/>
    </row>
    <row r="181" spans="1:10">
      <c r="A181" s="177" t="s">
        <v>1041</v>
      </c>
      <c r="B181" s="177">
        <v>121</v>
      </c>
      <c r="C181" s="177">
        <v>32</v>
      </c>
      <c r="D181" s="177">
        <v>12</v>
      </c>
      <c r="E181" s="177">
        <v>10</v>
      </c>
      <c r="F181" s="223">
        <v>1.3</v>
      </c>
      <c r="G181" s="177" t="s">
        <v>1214</v>
      </c>
      <c r="H181" s="177" t="s">
        <v>1215</v>
      </c>
      <c r="I181" s="269" t="s">
        <v>1469</v>
      </c>
      <c r="J181" s="269"/>
    </row>
    <row r="182" spans="1:10">
      <c r="A182" s="177" t="s">
        <v>1041</v>
      </c>
      <c r="B182" s="177">
        <v>122</v>
      </c>
      <c r="C182" s="177">
        <v>32</v>
      </c>
      <c r="D182" s="177">
        <v>13</v>
      </c>
      <c r="E182" s="177">
        <v>13</v>
      </c>
      <c r="F182" s="223">
        <v>2.1</v>
      </c>
      <c r="G182" s="177" t="s">
        <v>1214</v>
      </c>
      <c r="H182" s="177" t="s">
        <v>1215</v>
      </c>
      <c r="I182" s="269" t="s">
        <v>1469</v>
      </c>
      <c r="J182" s="269"/>
    </row>
    <row r="183" spans="1:10">
      <c r="A183" s="177" t="s">
        <v>1041</v>
      </c>
      <c r="B183" s="177">
        <v>126</v>
      </c>
      <c r="C183" s="177">
        <v>32</v>
      </c>
      <c r="D183" s="177">
        <v>17</v>
      </c>
      <c r="E183" s="177">
        <v>16</v>
      </c>
      <c r="F183" s="223">
        <v>3.4</v>
      </c>
      <c r="G183" s="177" t="s">
        <v>1214</v>
      </c>
      <c r="H183" s="177" t="s">
        <v>1215</v>
      </c>
      <c r="I183" s="269" t="s">
        <v>1469</v>
      </c>
      <c r="J183" s="269"/>
    </row>
    <row r="184" spans="1:10">
      <c r="A184" s="177" t="s">
        <v>1041</v>
      </c>
      <c r="B184" s="177">
        <v>130</v>
      </c>
      <c r="C184" s="177">
        <v>32</v>
      </c>
      <c r="D184" s="177">
        <v>18</v>
      </c>
      <c r="E184" s="177">
        <v>17</v>
      </c>
      <c r="F184" s="223">
        <v>4</v>
      </c>
      <c r="G184" s="177" t="s">
        <v>1214</v>
      </c>
      <c r="H184" s="177" t="s">
        <v>1215</v>
      </c>
      <c r="I184" s="269" t="s">
        <v>1469</v>
      </c>
      <c r="J184" s="269"/>
    </row>
    <row r="185" spans="1:10">
      <c r="A185" s="177" t="s">
        <v>1041</v>
      </c>
      <c r="B185" s="177">
        <v>134</v>
      </c>
      <c r="C185" s="177">
        <v>32</v>
      </c>
      <c r="D185" s="177">
        <v>15</v>
      </c>
      <c r="E185" s="177">
        <v>11</v>
      </c>
      <c r="F185" s="223">
        <v>1.3</v>
      </c>
      <c r="G185" s="177" t="s">
        <v>1214</v>
      </c>
      <c r="H185" s="177" t="s">
        <v>1215</v>
      </c>
      <c r="I185" s="269" t="s">
        <v>1469</v>
      </c>
      <c r="J185" s="269"/>
    </row>
    <row r="186" spans="1:10">
      <c r="A186" s="177" t="s">
        <v>1041</v>
      </c>
      <c r="B186" s="177">
        <v>137</v>
      </c>
      <c r="C186" s="177">
        <v>32</v>
      </c>
      <c r="D186" s="177">
        <v>12</v>
      </c>
      <c r="E186" s="177">
        <v>10</v>
      </c>
      <c r="F186" s="223">
        <v>1.2</v>
      </c>
      <c r="G186" s="177" t="s">
        <v>1214</v>
      </c>
      <c r="H186" s="177" t="s">
        <v>1215</v>
      </c>
      <c r="I186" s="269" t="s">
        <v>1469</v>
      </c>
      <c r="J186" s="269"/>
    </row>
    <row r="187" spans="1:10">
      <c r="A187" s="177" t="s">
        <v>1041</v>
      </c>
      <c r="B187" s="177">
        <v>140</v>
      </c>
      <c r="C187" s="177">
        <v>33</v>
      </c>
      <c r="D187" s="177">
        <v>5</v>
      </c>
      <c r="E187" s="177">
        <v>8</v>
      </c>
      <c r="F187" s="223">
        <v>0.6</v>
      </c>
      <c r="G187" s="177" t="s">
        <v>1214</v>
      </c>
      <c r="H187" s="177" t="s">
        <v>1215</v>
      </c>
      <c r="I187" s="269" t="s">
        <v>1469</v>
      </c>
      <c r="J187" s="269"/>
    </row>
    <row r="188" spans="1:10">
      <c r="A188" s="177" t="s">
        <v>1041</v>
      </c>
      <c r="B188" s="177">
        <v>141</v>
      </c>
      <c r="C188" s="177">
        <v>33</v>
      </c>
      <c r="D188" s="177">
        <v>6</v>
      </c>
      <c r="E188" s="177">
        <v>10</v>
      </c>
      <c r="F188" s="223">
        <v>1.4</v>
      </c>
      <c r="G188" s="177" t="s">
        <v>1214</v>
      </c>
      <c r="H188" s="177" t="s">
        <v>1215</v>
      </c>
      <c r="I188" s="269" t="s">
        <v>1469</v>
      </c>
      <c r="J188" s="269"/>
    </row>
    <row r="189" spans="1:10">
      <c r="A189" s="177" t="s">
        <v>1041</v>
      </c>
      <c r="B189" s="177">
        <v>145</v>
      </c>
      <c r="C189" s="177">
        <v>33</v>
      </c>
      <c r="D189" s="177">
        <v>5</v>
      </c>
      <c r="E189" s="177">
        <v>10</v>
      </c>
      <c r="F189" s="223">
        <v>2.1</v>
      </c>
      <c r="G189" s="177" t="s">
        <v>1214</v>
      </c>
      <c r="H189" s="177" t="s">
        <v>1215</v>
      </c>
      <c r="I189" s="269" t="s">
        <v>1469</v>
      </c>
      <c r="J189" s="269"/>
    </row>
    <row r="190" spans="1:10">
      <c r="A190" s="177" t="s">
        <v>1041</v>
      </c>
      <c r="B190" s="177">
        <v>149</v>
      </c>
      <c r="C190" s="177">
        <v>33</v>
      </c>
      <c r="D190" s="177">
        <v>5</v>
      </c>
      <c r="E190" s="177">
        <v>8</v>
      </c>
      <c r="F190" s="223">
        <v>1.4</v>
      </c>
      <c r="G190" s="177" t="s">
        <v>1214</v>
      </c>
      <c r="H190" s="177" t="s">
        <v>1215</v>
      </c>
      <c r="I190" s="269" t="s">
        <v>1469</v>
      </c>
      <c r="J190" s="269"/>
    </row>
    <row r="191" spans="1:10">
      <c r="A191" s="177" t="s">
        <v>1041</v>
      </c>
      <c r="B191" s="177">
        <v>152</v>
      </c>
      <c r="C191" s="177">
        <v>33</v>
      </c>
      <c r="D191" s="177">
        <v>5</v>
      </c>
      <c r="E191" s="177">
        <v>9</v>
      </c>
      <c r="F191" s="223">
        <v>1.2</v>
      </c>
      <c r="G191" s="177" t="s">
        <v>1214</v>
      </c>
      <c r="H191" s="177" t="s">
        <v>1215</v>
      </c>
      <c r="I191" s="269" t="s">
        <v>1469</v>
      </c>
      <c r="J191" s="269"/>
    </row>
    <row r="192" spans="1:10">
      <c r="A192" s="177" t="s">
        <v>1041</v>
      </c>
      <c r="B192" s="177">
        <v>153</v>
      </c>
      <c r="C192" s="177">
        <v>33</v>
      </c>
      <c r="D192" s="177">
        <v>6</v>
      </c>
      <c r="E192" s="177">
        <v>10</v>
      </c>
      <c r="F192" s="223">
        <v>1.5</v>
      </c>
      <c r="G192" s="177" t="s">
        <v>1214</v>
      </c>
      <c r="H192" s="177" t="s">
        <v>1215</v>
      </c>
      <c r="I192" s="269" t="s">
        <v>1469</v>
      </c>
      <c r="J192" s="269"/>
    </row>
    <row r="193" spans="1:10">
      <c r="A193" s="177" t="s">
        <v>1041</v>
      </c>
      <c r="B193" s="177">
        <v>156</v>
      </c>
      <c r="C193" s="177">
        <v>42</v>
      </c>
      <c r="D193" s="177">
        <v>21</v>
      </c>
      <c r="E193" s="177">
        <v>16</v>
      </c>
      <c r="F193" s="223">
        <v>3.3</v>
      </c>
      <c r="G193" s="177" t="s">
        <v>1214</v>
      </c>
      <c r="H193" s="177" t="s">
        <v>1215</v>
      </c>
      <c r="I193" s="269" t="s">
        <v>1469</v>
      </c>
      <c r="J193" s="269"/>
    </row>
    <row r="194" spans="1:10">
      <c r="A194" s="177" t="s">
        <v>1041</v>
      </c>
      <c r="B194" s="177">
        <v>157</v>
      </c>
      <c r="C194" s="177">
        <v>42</v>
      </c>
      <c r="D194" s="177">
        <v>22</v>
      </c>
      <c r="E194" s="177">
        <v>18</v>
      </c>
      <c r="F194" s="223">
        <v>4.5</v>
      </c>
      <c r="G194" s="177" t="s">
        <v>1214</v>
      </c>
      <c r="H194" s="177" t="s">
        <v>1215</v>
      </c>
      <c r="I194" s="269" t="s">
        <v>1469</v>
      </c>
      <c r="J194" s="269"/>
    </row>
    <row r="195" spans="1:10">
      <c r="A195" s="177" t="s">
        <v>1041</v>
      </c>
      <c r="B195" s="177">
        <v>164</v>
      </c>
      <c r="C195" s="177">
        <v>65</v>
      </c>
      <c r="D195" s="177">
        <v>24</v>
      </c>
      <c r="E195" s="177">
        <v>23</v>
      </c>
      <c r="F195" s="223">
        <v>4.8</v>
      </c>
      <c r="G195" s="177" t="s">
        <v>1214</v>
      </c>
      <c r="H195" s="177" t="s">
        <v>1215</v>
      </c>
      <c r="I195" s="269" t="s">
        <v>1469</v>
      </c>
      <c r="J195" s="269"/>
    </row>
    <row r="196" spans="1:10">
      <c r="A196" s="177" t="s">
        <v>1041</v>
      </c>
      <c r="B196" s="177">
        <v>167</v>
      </c>
      <c r="C196" s="177">
        <v>65</v>
      </c>
      <c r="D196" s="177">
        <v>17</v>
      </c>
      <c r="E196" s="177">
        <v>17</v>
      </c>
      <c r="F196" s="223">
        <v>1.5</v>
      </c>
      <c r="G196" s="177" t="s">
        <v>1214</v>
      </c>
      <c r="H196" s="177" t="s">
        <v>1215</v>
      </c>
      <c r="I196" s="269" t="s">
        <v>1469</v>
      </c>
      <c r="J196" s="269"/>
    </row>
    <row r="197" spans="1:10">
      <c r="A197" s="177" t="s">
        <v>1041</v>
      </c>
      <c r="B197" s="177">
        <v>169</v>
      </c>
      <c r="C197" s="177">
        <v>65</v>
      </c>
      <c r="D197" s="177">
        <v>17</v>
      </c>
      <c r="E197" s="177">
        <v>24</v>
      </c>
      <c r="F197" s="223">
        <v>5.0999999999999996</v>
      </c>
      <c r="G197" s="177" t="s">
        <v>1214</v>
      </c>
      <c r="H197" s="177" t="s">
        <v>1215</v>
      </c>
      <c r="I197" s="269" t="s">
        <v>1469</v>
      </c>
      <c r="J197" s="269"/>
    </row>
    <row r="198" spans="1:10">
      <c r="A198" s="177" t="s">
        <v>1041</v>
      </c>
      <c r="B198" s="177">
        <v>171</v>
      </c>
      <c r="C198" s="177">
        <v>70</v>
      </c>
      <c r="D198" s="177">
        <v>26</v>
      </c>
      <c r="E198" s="177">
        <v>28</v>
      </c>
      <c r="F198" s="223">
        <v>5.5</v>
      </c>
      <c r="G198" s="177" t="s">
        <v>1214</v>
      </c>
      <c r="H198" s="177" t="s">
        <v>1215</v>
      </c>
      <c r="I198" s="269" t="s">
        <v>1469</v>
      </c>
      <c r="J198" s="269"/>
    </row>
    <row r="199" spans="1:10">
      <c r="A199" s="177" t="s">
        <v>1041</v>
      </c>
      <c r="B199" s="177">
        <v>174</v>
      </c>
      <c r="C199" s="177">
        <v>80</v>
      </c>
      <c r="D199" s="177">
        <v>27</v>
      </c>
      <c r="E199" s="177">
        <v>25</v>
      </c>
      <c r="F199" s="223">
        <v>2.9</v>
      </c>
      <c r="G199" s="177" t="s">
        <v>1214</v>
      </c>
      <c r="H199" s="177" t="s">
        <v>1215</v>
      </c>
      <c r="I199" s="269" t="s">
        <v>1469</v>
      </c>
      <c r="J199" s="269"/>
    </row>
    <row r="200" spans="1:10">
      <c r="A200" s="177" t="s">
        <v>1041</v>
      </c>
      <c r="B200" s="177">
        <v>175</v>
      </c>
      <c r="C200" s="177">
        <v>80</v>
      </c>
      <c r="D200" s="177">
        <v>29</v>
      </c>
      <c r="E200" s="177">
        <v>29</v>
      </c>
      <c r="F200" s="223">
        <v>5.5</v>
      </c>
      <c r="G200" s="177" t="s">
        <v>1214</v>
      </c>
      <c r="H200" s="177" t="s">
        <v>1215</v>
      </c>
      <c r="I200" s="269" t="s">
        <v>1469</v>
      </c>
      <c r="J200" s="269"/>
    </row>
    <row r="201" spans="1:10">
      <c r="A201" s="177" t="s">
        <v>1041</v>
      </c>
      <c r="B201" s="177">
        <v>178</v>
      </c>
      <c r="C201" s="177">
        <v>81</v>
      </c>
      <c r="D201" s="177">
        <v>21</v>
      </c>
      <c r="E201" s="177">
        <v>24</v>
      </c>
      <c r="F201" s="223">
        <v>4.5999999999999996</v>
      </c>
      <c r="G201" s="177" t="s">
        <v>1214</v>
      </c>
      <c r="H201" s="177" t="s">
        <v>1215</v>
      </c>
      <c r="I201" s="269" t="s">
        <v>1469</v>
      </c>
      <c r="J201" s="269"/>
    </row>
    <row r="202" spans="1:10">
      <c r="A202" s="177" t="s">
        <v>1041</v>
      </c>
      <c r="B202" s="177">
        <v>179</v>
      </c>
      <c r="C202" s="177">
        <v>81</v>
      </c>
      <c r="D202" s="177">
        <v>21</v>
      </c>
      <c r="E202" s="177">
        <v>27</v>
      </c>
      <c r="F202" s="223">
        <v>5.2</v>
      </c>
      <c r="G202" s="177" t="s">
        <v>1214</v>
      </c>
      <c r="H202" s="177" t="s">
        <v>1215</v>
      </c>
      <c r="I202" s="269" t="s">
        <v>1469</v>
      </c>
      <c r="J202" s="269"/>
    </row>
    <row r="203" spans="1:10">
      <c r="A203" s="177" t="s">
        <v>1041</v>
      </c>
      <c r="B203" s="177">
        <v>181</v>
      </c>
      <c r="C203" s="177">
        <v>82</v>
      </c>
      <c r="D203" s="177">
        <v>26</v>
      </c>
      <c r="E203" s="177">
        <v>23</v>
      </c>
      <c r="F203" s="223">
        <v>1.7</v>
      </c>
      <c r="G203" s="177" t="s">
        <v>1214</v>
      </c>
      <c r="H203" s="177" t="s">
        <v>1215</v>
      </c>
      <c r="I203" s="269" t="s">
        <v>1469</v>
      </c>
      <c r="J203" s="269"/>
    </row>
    <row r="204" spans="1:10">
      <c r="A204" s="177" t="s">
        <v>1041</v>
      </c>
      <c r="B204" s="177">
        <v>182</v>
      </c>
      <c r="C204" s="177">
        <v>82</v>
      </c>
      <c r="D204" s="177">
        <v>28</v>
      </c>
      <c r="E204" s="177">
        <v>26</v>
      </c>
      <c r="F204" s="223">
        <v>5.5</v>
      </c>
      <c r="G204" s="177" t="s">
        <v>1214</v>
      </c>
      <c r="H204" s="177" t="s">
        <v>1215</v>
      </c>
      <c r="I204" s="269" t="s">
        <v>1469</v>
      </c>
      <c r="J204" s="269"/>
    </row>
    <row r="205" spans="1:10">
      <c r="A205" s="177" t="s">
        <v>1041</v>
      </c>
      <c r="B205" s="177">
        <v>183</v>
      </c>
      <c r="C205" s="177">
        <v>82</v>
      </c>
      <c r="D205" s="177">
        <v>27</v>
      </c>
      <c r="E205" s="177">
        <v>29</v>
      </c>
      <c r="F205" s="223">
        <v>6</v>
      </c>
      <c r="G205" s="177" t="s">
        <v>1214</v>
      </c>
      <c r="H205" s="177" t="s">
        <v>1215</v>
      </c>
      <c r="I205" s="269" t="s">
        <v>1469</v>
      </c>
      <c r="J205" s="269"/>
    </row>
    <row r="206" spans="1:10">
      <c r="A206" s="177" t="s">
        <v>1041</v>
      </c>
      <c r="B206" s="177">
        <v>184</v>
      </c>
      <c r="C206" s="177">
        <v>82</v>
      </c>
      <c r="D206" s="177">
        <v>27</v>
      </c>
      <c r="E206" s="177">
        <v>32</v>
      </c>
      <c r="F206" s="223">
        <v>5.9</v>
      </c>
      <c r="G206" s="177" t="s">
        <v>1214</v>
      </c>
      <c r="H206" s="177" t="s">
        <v>1215</v>
      </c>
      <c r="I206" s="269" t="s">
        <v>1469</v>
      </c>
      <c r="J206" s="269"/>
    </row>
    <row r="207" spans="1:10">
      <c r="A207" s="177" t="s">
        <v>1041</v>
      </c>
      <c r="B207" s="177">
        <v>187</v>
      </c>
      <c r="C207" s="177">
        <v>82</v>
      </c>
      <c r="D207" s="177">
        <v>20</v>
      </c>
      <c r="E207" s="177">
        <v>28</v>
      </c>
      <c r="F207" s="223">
        <v>11.7</v>
      </c>
      <c r="G207" s="177" t="s">
        <v>1214</v>
      </c>
      <c r="H207" s="177" t="s">
        <v>1215</v>
      </c>
      <c r="I207" s="269" t="s">
        <v>1469</v>
      </c>
      <c r="J207" s="269"/>
    </row>
    <row r="208" spans="1:10">
      <c r="A208" s="177" t="s">
        <v>1041</v>
      </c>
      <c r="B208" s="177">
        <v>191</v>
      </c>
      <c r="C208" s="177">
        <v>83</v>
      </c>
      <c r="D208" s="177">
        <v>30</v>
      </c>
      <c r="E208" s="177">
        <v>36</v>
      </c>
      <c r="F208" s="223">
        <v>11.5</v>
      </c>
      <c r="G208" s="177" t="s">
        <v>1214</v>
      </c>
      <c r="H208" s="177" t="s">
        <v>1215</v>
      </c>
      <c r="I208" s="269" t="s">
        <v>1469</v>
      </c>
      <c r="J208" s="269"/>
    </row>
    <row r="209" spans="1:10">
      <c r="A209" s="177" t="s">
        <v>1041</v>
      </c>
      <c r="B209" s="177">
        <v>192</v>
      </c>
      <c r="C209" s="177">
        <v>83</v>
      </c>
      <c r="D209" s="177">
        <v>30</v>
      </c>
      <c r="E209" s="177">
        <v>38</v>
      </c>
      <c r="F209" s="223">
        <v>11.3</v>
      </c>
      <c r="G209" s="177" t="s">
        <v>1214</v>
      </c>
      <c r="H209" s="177" t="s">
        <v>1215</v>
      </c>
      <c r="I209" s="269" t="s">
        <v>1469</v>
      </c>
      <c r="J209" s="269"/>
    </row>
    <row r="210" spans="1:10">
      <c r="A210" s="177" t="s">
        <v>1041</v>
      </c>
      <c r="B210" s="177">
        <v>195</v>
      </c>
      <c r="C210" s="177">
        <v>85</v>
      </c>
      <c r="D210" s="177">
        <v>29</v>
      </c>
      <c r="E210" s="177">
        <v>35</v>
      </c>
      <c r="F210" s="223">
        <v>10.9</v>
      </c>
      <c r="G210" s="177" t="s">
        <v>1214</v>
      </c>
      <c r="H210" s="177" t="s">
        <v>1215</v>
      </c>
      <c r="I210" s="269" t="s">
        <v>1469</v>
      </c>
      <c r="J210" s="269"/>
    </row>
    <row r="211" spans="1:10">
      <c r="A211" s="177" t="s">
        <v>1041</v>
      </c>
      <c r="B211" s="177">
        <v>200</v>
      </c>
      <c r="C211" s="177">
        <v>86</v>
      </c>
      <c r="D211" s="177">
        <v>32</v>
      </c>
      <c r="E211" s="177">
        <v>33</v>
      </c>
      <c r="F211" s="223">
        <v>13.2</v>
      </c>
      <c r="G211" s="177" t="s">
        <v>1214</v>
      </c>
      <c r="H211" s="177" t="s">
        <v>1215</v>
      </c>
      <c r="I211" s="269" t="s">
        <v>1469</v>
      </c>
      <c r="J211" s="269"/>
    </row>
    <row r="212" spans="1:10">
      <c r="A212" s="177" t="s">
        <v>1041</v>
      </c>
      <c r="B212" s="177">
        <v>204</v>
      </c>
      <c r="C212" s="177">
        <v>97</v>
      </c>
      <c r="D212" s="177">
        <v>32</v>
      </c>
      <c r="E212" s="177">
        <v>36</v>
      </c>
      <c r="F212" s="223">
        <v>11.7</v>
      </c>
      <c r="G212" s="177" t="s">
        <v>1214</v>
      </c>
      <c r="H212" s="177" t="s">
        <v>1215</v>
      </c>
      <c r="I212" s="269" t="s">
        <v>1469</v>
      </c>
      <c r="J212" s="269"/>
    </row>
    <row r="213" spans="1:10">
      <c r="A213" s="177" t="s">
        <v>1041</v>
      </c>
      <c r="B213" s="177">
        <v>203</v>
      </c>
      <c r="C213" s="177">
        <v>101</v>
      </c>
      <c r="D213" s="177">
        <v>32</v>
      </c>
      <c r="E213" s="177">
        <v>31</v>
      </c>
      <c r="F213" s="223">
        <v>5.6</v>
      </c>
      <c r="G213" s="177" t="s">
        <v>1214</v>
      </c>
      <c r="H213" s="177" t="s">
        <v>1215</v>
      </c>
      <c r="I213" s="269" t="s">
        <v>1469</v>
      </c>
      <c r="J213" s="269"/>
    </row>
    <row r="214" spans="1:10">
      <c r="A214" s="177" t="s">
        <v>1041</v>
      </c>
      <c r="B214" s="177">
        <v>4</v>
      </c>
      <c r="C214" s="177">
        <v>19</v>
      </c>
      <c r="D214" s="177">
        <v>5.6</v>
      </c>
      <c r="E214" s="177">
        <v>4.8</v>
      </c>
      <c r="F214" s="223">
        <v>0.3</v>
      </c>
      <c r="G214" s="177" t="s">
        <v>1214</v>
      </c>
      <c r="H214" s="177" t="s">
        <v>1215</v>
      </c>
      <c r="I214" s="269" t="s">
        <v>1522</v>
      </c>
      <c r="J214" s="269"/>
    </row>
    <row r="215" spans="1:10">
      <c r="A215" s="177" t="s">
        <v>1041</v>
      </c>
      <c r="B215" s="177">
        <v>82</v>
      </c>
      <c r="C215" s="177">
        <v>24</v>
      </c>
      <c r="D215" s="177">
        <v>8</v>
      </c>
      <c r="E215" s="177">
        <v>6.6</v>
      </c>
      <c r="F215" s="223">
        <v>0.21</v>
      </c>
      <c r="G215" s="177" t="s">
        <v>1214</v>
      </c>
      <c r="H215" s="177" t="s">
        <v>1215</v>
      </c>
      <c r="I215" s="269" t="s">
        <v>1523</v>
      </c>
      <c r="J215" s="269"/>
    </row>
    <row r="216" spans="1:10">
      <c r="A216" s="177" t="s">
        <v>1041</v>
      </c>
      <c r="B216" s="177">
        <v>170</v>
      </c>
      <c r="C216" s="177">
        <v>70</v>
      </c>
      <c r="D216" s="177">
        <v>21</v>
      </c>
      <c r="E216" s="177">
        <v>17</v>
      </c>
      <c r="F216" s="223">
        <v>1.5</v>
      </c>
      <c r="G216" s="177" t="s">
        <v>1214</v>
      </c>
      <c r="H216" s="177" t="s">
        <v>1215</v>
      </c>
      <c r="I216" s="269" t="s">
        <v>1523</v>
      </c>
      <c r="J216" s="269"/>
    </row>
    <row r="217" spans="1:10">
      <c r="A217" s="177" t="s">
        <v>1041</v>
      </c>
      <c r="C217" s="177">
        <v>23</v>
      </c>
      <c r="D217" s="177">
        <v>14.9</v>
      </c>
      <c r="E217" s="177">
        <v>15.4</v>
      </c>
      <c r="F217" s="223">
        <v>4.4000000000000004</v>
      </c>
      <c r="G217" s="177" t="s">
        <v>1213</v>
      </c>
      <c r="J217" s="269"/>
    </row>
    <row r="218" spans="1:10">
      <c r="A218" s="177" t="s">
        <v>1041</v>
      </c>
      <c r="B218" s="136">
        <v>4</v>
      </c>
      <c r="C218" s="136">
        <v>156</v>
      </c>
      <c r="D218" s="136">
        <v>31.5</v>
      </c>
      <c r="E218" s="177">
        <v>39.1</v>
      </c>
      <c r="F218" s="137">
        <v>7.98</v>
      </c>
      <c r="G218" s="177" t="s">
        <v>1216</v>
      </c>
    </row>
    <row r="219" spans="1:10">
      <c r="A219" s="177" t="s">
        <v>1041</v>
      </c>
      <c r="B219" s="136">
        <v>2</v>
      </c>
      <c r="C219" s="136">
        <v>165</v>
      </c>
      <c r="D219" s="136">
        <v>33.299999999999997</v>
      </c>
      <c r="E219" s="177">
        <v>56.5</v>
      </c>
      <c r="F219" s="137">
        <v>31.6</v>
      </c>
      <c r="G219" s="177" t="s">
        <v>1216</v>
      </c>
    </row>
    <row r="220" spans="1:10">
      <c r="A220" s="177" t="s">
        <v>1041</v>
      </c>
      <c r="B220" s="136">
        <v>1</v>
      </c>
      <c r="C220" s="136">
        <v>166</v>
      </c>
      <c r="D220" s="136">
        <v>32.5</v>
      </c>
      <c r="E220" s="177">
        <v>76.3</v>
      </c>
      <c r="F220" s="137">
        <v>51.39</v>
      </c>
      <c r="G220" s="177" t="s">
        <v>1216</v>
      </c>
    </row>
    <row r="221" spans="1:10">
      <c r="A221" s="177" t="s">
        <v>1041</v>
      </c>
      <c r="B221" s="136">
        <v>3</v>
      </c>
      <c r="C221" s="136">
        <v>166</v>
      </c>
      <c r="D221" s="136">
        <v>29.5</v>
      </c>
      <c r="E221" s="177">
        <v>47.5</v>
      </c>
      <c r="F221" s="137">
        <v>19.96</v>
      </c>
      <c r="G221" s="177" t="s">
        <v>1216</v>
      </c>
    </row>
    <row r="222" spans="1:10">
      <c r="A222" s="177" t="s">
        <v>1221</v>
      </c>
      <c r="B222" s="177">
        <v>56</v>
      </c>
      <c r="D222" s="177">
        <v>21.33</v>
      </c>
      <c r="E222" s="177">
        <v>19</v>
      </c>
      <c r="F222" s="223">
        <v>1.609</v>
      </c>
      <c r="G222" s="177" t="s">
        <v>1222</v>
      </c>
    </row>
    <row r="223" spans="1:10">
      <c r="A223" s="177" t="s">
        <v>1221</v>
      </c>
      <c r="B223" s="177">
        <v>80</v>
      </c>
      <c r="D223" s="177">
        <v>22.65</v>
      </c>
      <c r="E223" s="177">
        <v>23.5</v>
      </c>
      <c r="F223" s="223">
        <v>5.2519999999999998</v>
      </c>
      <c r="G223" s="177" t="s">
        <v>1222</v>
      </c>
    </row>
    <row r="224" spans="1:10">
      <c r="A224" s="177" t="s">
        <v>1221</v>
      </c>
      <c r="B224" s="177">
        <v>102</v>
      </c>
      <c r="D224" s="177">
        <v>24</v>
      </c>
      <c r="E224" s="177">
        <v>21.5</v>
      </c>
      <c r="F224" s="223">
        <v>3.4089999999999998</v>
      </c>
      <c r="G224" s="177" t="s">
        <v>1222</v>
      </c>
    </row>
    <row r="225" spans="1:19">
      <c r="A225" s="177" t="s">
        <v>1197</v>
      </c>
      <c r="D225" s="177">
        <v>4.0999999999999996</v>
      </c>
      <c r="E225" s="177">
        <v>4.7</v>
      </c>
      <c r="F225" s="223">
        <v>0.76500000000000001</v>
      </c>
      <c r="G225" s="177" t="s">
        <v>1196</v>
      </c>
    </row>
    <row r="226" spans="1:19">
      <c r="A226" s="177" t="s">
        <v>1198</v>
      </c>
      <c r="D226" s="177">
        <v>1.65</v>
      </c>
      <c r="E226" s="177">
        <v>1.1000000000000001</v>
      </c>
      <c r="F226" s="223">
        <v>4.8000000000000001E-2</v>
      </c>
      <c r="G226" s="177" t="s">
        <v>1196</v>
      </c>
    </row>
    <row r="227" spans="1:19">
      <c r="A227" s="177" t="s">
        <v>1199</v>
      </c>
      <c r="D227" s="177">
        <v>8.8000000000000007</v>
      </c>
      <c r="E227" s="177">
        <v>10</v>
      </c>
      <c r="F227" s="223">
        <v>0.95499999999999996</v>
      </c>
      <c r="G227" s="177" t="s">
        <v>1196</v>
      </c>
    </row>
    <row r="228" spans="1:19">
      <c r="A228" s="177" t="s">
        <v>1221</v>
      </c>
      <c r="B228">
        <v>1</v>
      </c>
      <c r="C228">
        <v>29</v>
      </c>
      <c r="D228">
        <v>10</v>
      </c>
      <c r="E228">
        <v>10.1</v>
      </c>
      <c r="F228">
        <v>2.5</v>
      </c>
      <c r="G228" s="177" t="s">
        <v>1356</v>
      </c>
      <c r="K228" s="277"/>
      <c r="L228" s="277"/>
      <c r="M228" s="277"/>
      <c r="N228" s="277"/>
      <c r="O228" s="277"/>
      <c r="P228" s="277"/>
      <c r="Q228" s="277"/>
      <c r="R228" s="277"/>
      <c r="S228" s="277"/>
    </row>
    <row r="229" spans="1:19">
      <c r="A229" s="177" t="s">
        <v>1221</v>
      </c>
      <c r="B229">
        <v>2</v>
      </c>
      <c r="C229">
        <v>29</v>
      </c>
      <c r="D229">
        <v>10.8</v>
      </c>
      <c r="E229">
        <v>9.8000000000000007</v>
      </c>
      <c r="F229">
        <v>1.7</v>
      </c>
      <c r="G229" s="177" t="s">
        <v>1356</v>
      </c>
      <c r="K229"/>
      <c r="L229"/>
      <c r="M229"/>
      <c r="N229"/>
      <c r="O229"/>
      <c r="P229"/>
      <c r="Q229"/>
      <c r="R229"/>
      <c r="S229"/>
    </row>
    <row r="230" spans="1:19">
      <c r="A230" s="177" t="s">
        <v>1221</v>
      </c>
      <c r="B230">
        <v>3</v>
      </c>
      <c r="C230">
        <v>29</v>
      </c>
      <c r="D230">
        <v>10.7</v>
      </c>
      <c r="E230">
        <v>11.6</v>
      </c>
      <c r="F230">
        <v>1.2</v>
      </c>
      <c r="G230" s="177" t="s">
        <v>1356</v>
      </c>
      <c r="K230"/>
      <c r="L230"/>
      <c r="M230"/>
      <c r="N230"/>
      <c r="O230"/>
      <c r="P230"/>
      <c r="Q230"/>
      <c r="R230"/>
      <c r="S230"/>
    </row>
    <row r="231" spans="1:19">
      <c r="A231" s="177" t="s">
        <v>1221</v>
      </c>
      <c r="B231">
        <v>4</v>
      </c>
      <c r="C231">
        <v>29</v>
      </c>
      <c r="D231">
        <v>7.3</v>
      </c>
      <c r="E231">
        <v>7.6</v>
      </c>
      <c r="F231">
        <v>1.2</v>
      </c>
      <c r="G231" s="177" t="s">
        <v>1356</v>
      </c>
      <c r="K231"/>
      <c r="L231"/>
      <c r="M231"/>
      <c r="N231"/>
      <c r="O231"/>
      <c r="P231"/>
      <c r="Q231"/>
      <c r="R231"/>
      <c r="S231"/>
    </row>
    <row r="232" spans="1:19">
      <c r="A232" s="177" t="s">
        <v>1221</v>
      </c>
      <c r="B232">
        <v>5</v>
      </c>
      <c r="C232">
        <v>29</v>
      </c>
      <c r="D232">
        <v>10.1</v>
      </c>
      <c r="E232">
        <v>16.5</v>
      </c>
      <c r="F232">
        <v>5.9</v>
      </c>
      <c r="G232" s="177" t="s">
        <v>1356</v>
      </c>
      <c r="K232"/>
      <c r="L232"/>
      <c r="M232"/>
      <c r="N232"/>
      <c r="O232"/>
      <c r="P232"/>
      <c r="Q232"/>
      <c r="R232"/>
      <c r="S232"/>
    </row>
    <row r="233" spans="1:19">
      <c r="A233" s="177" t="s">
        <v>1221</v>
      </c>
      <c r="B233">
        <v>6</v>
      </c>
      <c r="C233">
        <v>29</v>
      </c>
      <c r="D233">
        <v>11</v>
      </c>
      <c r="E233">
        <v>11.7</v>
      </c>
      <c r="F233">
        <v>1.9</v>
      </c>
      <c r="G233" s="177" t="s">
        <v>1356</v>
      </c>
      <c r="K233"/>
      <c r="L233"/>
      <c r="M233"/>
      <c r="N233"/>
      <c r="O233"/>
      <c r="P233"/>
      <c r="Q233"/>
      <c r="R233"/>
      <c r="S233"/>
    </row>
    <row r="234" spans="1:19">
      <c r="K234"/>
      <c r="L234"/>
      <c r="M234"/>
      <c r="N234"/>
      <c r="O234"/>
      <c r="P234"/>
      <c r="Q234"/>
      <c r="R234"/>
      <c r="S234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T32"/>
  <sheetViews>
    <sheetView tabSelected="1" workbookViewId="0">
      <selection activeCell="O8" sqref="O8"/>
    </sheetView>
  </sheetViews>
  <sheetFormatPr baseColWidth="10" defaultRowHeight="12.75"/>
  <cols>
    <col min="1" max="1" width="7" style="30" customWidth="1"/>
    <col min="2" max="2" width="7.42578125" style="30" customWidth="1"/>
    <col min="3" max="3" width="7" style="30" customWidth="1"/>
    <col min="4" max="4" width="6.85546875" style="30" customWidth="1"/>
    <col min="5" max="7" width="7" style="30" customWidth="1"/>
    <col min="8" max="8" width="6.85546875" style="30" customWidth="1"/>
    <col min="9" max="9" width="8.42578125" style="30" customWidth="1"/>
    <col min="10" max="12" width="8.5703125" style="30" customWidth="1"/>
    <col min="13" max="16384" width="11.42578125" style="30"/>
  </cols>
  <sheetData>
    <row r="1" spans="1:20">
      <c r="A1" s="29" t="s">
        <v>1492</v>
      </c>
      <c r="O1" s="30">
        <v>4.8139000000000003</v>
      </c>
      <c r="Q1" s="30">
        <v>2.0625</v>
      </c>
      <c r="S1" s="30">
        <v>1.3579000000000001</v>
      </c>
    </row>
    <row r="2" spans="1:20">
      <c r="A2" s="29" t="s">
        <v>1493</v>
      </c>
    </row>
    <row r="3" spans="1:20">
      <c r="A3" s="30" t="s">
        <v>1642</v>
      </c>
      <c r="O3" s="30">
        <v>0.52129999999999999</v>
      </c>
      <c r="Q3" s="30">
        <v>0.68220000000000003</v>
      </c>
      <c r="S3" s="30">
        <v>0.77739999999999998</v>
      </c>
    </row>
    <row r="4" spans="1:20">
      <c r="A4" s="31"/>
      <c r="S4" s="30">
        <v>1.746</v>
      </c>
    </row>
    <row r="5" spans="1:20">
      <c r="A5" s="30" t="s">
        <v>1487</v>
      </c>
    </row>
    <row r="6" spans="1:20" ht="42">
      <c r="A6" s="32" t="s">
        <v>1643</v>
      </c>
      <c r="B6" s="33" t="s">
        <v>1494</v>
      </c>
      <c r="C6" s="33"/>
      <c r="D6" s="33"/>
      <c r="E6" s="33" t="s">
        <v>1495</v>
      </c>
      <c r="F6" s="33"/>
      <c r="G6" s="33"/>
      <c r="H6" s="33"/>
      <c r="I6" s="310" t="s">
        <v>1648</v>
      </c>
      <c r="J6" s="34" t="s">
        <v>1649</v>
      </c>
      <c r="K6" s="34"/>
      <c r="L6" s="34"/>
    </row>
    <row r="7" spans="1:20" ht="42">
      <c r="A7" s="35"/>
      <c r="B7" s="32" t="s">
        <v>1644</v>
      </c>
      <c r="C7" s="32" t="s">
        <v>1645</v>
      </c>
      <c r="D7" s="32" t="s">
        <v>1646</v>
      </c>
      <c r="E7" s="32" t="s">
        <v>1635</v>
      </c>
      <c r="F7" s="32" t="s">
        <v>1496</v>
      </c>
      <c r="G7" s="32" t="s">
        <v>1647</v>
      </c>
      <c r="H7" s="32" t="s">
        <v>1497</v>
      </c>
      <c r="I7" s="307"/>
      <c r="J7" s="32" t="s">
        <v>1635</v>
      </c>
      <c r="K7" s="32" t="s">
        <v>1651</v>
      </c>
      <c r="L7" s="32" t="s">
        <v>1650</v>
      </c>
      <c r="M7" s="30" t="s">
        <v>1534</v>
      </c>
      <c r="O7" s="30" t="s">
        <v>1589</v>
      </c>
      <c r="P7" s="30" t="s">
        <v>1590</v>
      </c>
      <c r="Q7" s="30" t="s">
        <v>1591</v>
      </c>
    </row>
    <row r="8" spans="1:20">
      <c r="A8" s="36">
        <v>4</v>
      </c>
      <c r="B8" s="36">
        <v>0.4</v>
      </c>
      <c r="C8" s="36">
        <v>0.7</v>
      </c>
      <c r="D8" s="36">
        <v>1.1000000000000001</v>
      </c>
      <c r="E8" s="36">
        <v>0.8</v>
      </c>
      <c r="F8" s="36">
        <v>0.52</v>
      </c>
      <c r="G8" s="36">
        <v>2.4</v>
      </c>
      <c r="H8" s="36">
        <v>0.4</v>
      </c>
      <c r="I8" s="36">
        <v>0.2</v>
      </c>
      <c r="J8" s="36">
        <v>4</v>
      </c>
      <c r="K8" s="36">
        <v>12</v>
      </c>
      <c r="L8" s="36">
        <v>2</v>
      </c>
      <c r="M8" s="30">
        <f>(E8/PI())^0.5*10</f>
        <v>5.0462650440403198</v>
      </c>
      <c r="O8" s="30">
        <f>O$1+O$3*A8</f>
        <v>6.8991000000000007</v>
      </c>
      <c r="P8" s="30">
        <f>(O8-M8)/M8</f>
        <v>0.36716956794568173</v>
      </c>
      <c r="Q8" s="30">
        <f>Q$1*A8^Q$3</f>
        <v>5.3103027695855891</v>
      </c>
      <c r="R8" s="30">
        <f>(Q8-M8)/M8</f>
        <v>5.2323396262568489E-2</v>
      </c>
      <c r="S8" s="30">
        <f>S$1*A8^S$3+S$4</f>
        <v>5.7354150855572028</v>
      </c>
      <c r="T8" s="30">
        <f>(S8-M8)/M8</f>
        <v>0.13656635858450891</v>
      </c>
    </row>
    <row r="9" spans="1:20">
      <c r="A9" s="37">
        <v>6</v>
      </c>
      <c r="B9" s="37">
        <v>0.7</v>
      </c>
      <c r="C9" s="37">
        <v>1.3</v>
      </c>
      <c r="D9" s="37">
        <v>2</v>
      </c>
      <c r="E9" s="37">
        <v>1.6</v>
      </c>
      <c r="F9" s="37">
        <v>0.51</v>
      </c>
      <c r="G9" s="37">
        <v>6.3</v>
      </c>
      <c r="H9" s="37">
        <v>1.6</v>
      </c>
      <c r="I9" s="37">
        <v>0.5</v>
      </c>
      <c r="J9" s="37">
        <v>3.2</v>
      </c>
      <c r="K9" s="37">
        <v>12.6</v>
      </c>
      <c r="L9" s="37">
        <v>3.2</v>
      </c>
      <c r="M9" s="30">
        <f t="shared" ref="M9:M31" si="0">(E9/PI())^0.5*10</f>
        <v>7.136496464611084</v>
      </c>
      <c r="O9" s="30">
        <f t="shared" ref="O9:O31" si="1">O$1+O$3*A9</f>
        <v>7.9417</v>
      </c>
      <c r="P9" s="30">
        <f t="shared" ref="P9:P31" si="2">(O9-M9)/M9</f>
        <v>0.11282896858168583</v>
      </c>
      <c r="Q9" s="30">
        <f t="shared" ref="Q9:Q31" si="3">Q$1*A9^Q$3</f>
        <v>7.0024294220317955</v>
      </c>
      <c r="R9" s="30">
        <f t="shared" ref="R9:R31" si="4">(Q9-M9)/M9</f>
        <v>-1.8786114901633975E-2</v>
      </c>
      <c r="S9" s="30">
        <f t="shared" ref="S9:S31" si="5">S$1*A9^S$3+S$4</f>
        <v>7.2136734675639058</v>
      </c>
      <c r="T9" s="30">
        <f t="shared" ref="T9:T31" si="6">(S9-M9)/M9</f>
        <v>1.0814410591462082E-2</v>
      </c>
    </row>
    <row r="10" spans="1:20">
      <c r="A10" s="37">
        <v>8</v>
      </c>
      <c r="B10" s="37">
        <v>1</v>
      </c>
      <c r="C10" s="37">
        <v>1.9</v>
      </c>
      <c r="D10" s="37">
        <v>2.9</v>
      </c>
      <c r="E10" s="37">
        <v>2.4</v>
      </c>
      <c r="F10" s="37">
        <v>0.5</v>
      </c>
      <c r="G10" s="37">
        <v>11.9</v>
      </c>
      <c r="H10" s="37">
        <v>3.4</v>
      </c>
      <c r="I10" s="37">
        <v>0.9</v>
      </c>
      <c r="J10" s="37">
        <v>2.7</v>
      </c>
      <c r="K10" s="37">
        <v>13.2</v>
      </c>
      <c r="L10" s="37">
        <v>3.8</v>
      </c>
      <c r="M10" s="30">
        <f t="shared" si="0"/>
        <v>8.7403874447366334</v>
      </c>
      <c r="O10" s="30">
        <f t="shared" si="1"/>
        <v>8.9843000000000011</v>
      </c>
      <c r="P10" s="30">
        <f t="shared" si="2"/>
        <v>2.7906377927244992E-2</v>
      </c>
      <c r="Q10" s="30">
        <f t="shared" si="3"/>
        <v>8.520830894890782</v>
      </c>
      <c r="R10" s="30">
        <f t="shared" si="4"/>
        <v>-2.5119773148965605E-2</v>
      </c>
      <c r="S10" s="30">
        <f t="shared" si="5"/>
        <v>8.5840133478396758</v>
      </c>
      <c r="T10" s="30">
        <f t="shared" si="6"/>
        <v>-1.7890979992096847E-2</v>
      </c>
    </row>
    <row r="11" spans="1:20">
      <c r="A11" s="37">
        <v>10</v>
      </c>
      <c r="B11" s="37">
        <v>1.3</v>
      </c>
      <c r="C11" s="37">
        <v>2.4</v>
      </c>
      <c r="D11" s="37">
        <v>3.7</v>
      </c>
      <c r="E11" s="37">
        <v>3.3</v>
      </c>
      <c r="F11" s="37">
        <v>0.5</v>
      </c>
      <c r="G11" s="37">
        <v>17.5</v>
      </c>
      <c r="H11" s="37">
        <v>6.1</v>
      </c>
      <c r="I11" s="37">
        <v>1.3</v>
      </c>
      <c r="J11" s="37">
        <v>2.5</v>
      </c>
      <c r="K11" s="37">
        <v>13.5</v>
      </c>
      <c r="L11" s="37">
        <v>4.7</v>
      </c>
      <c r="M11" s="30">
        <f t="shared" si="0"/>
        <v>10.249012754438883</v>
      </c>
      <c r="O11" s="30">
        <f t="shared" si="1"/>
        <v>10.026900000000001</v>
      </c>
      <c r="P11" s="30">
        <f t="shared" si="2"/>
        <v>-2.1671624356471242E-2</v>
      </c>
      <c r="Q11" s="30">
        <f t="shared" si="3"/>
        <v>9.9218797043015527</v>
      </c>
      <c r="R11" s="30">
        <f t="shared" si="4"/>
        <v>-3.1918493807674128E-2</v>
      </c>
      <c r="S11" s="30">
        <f t="shared" si="5"/>
        <v>9.8793186639456749</v>
      </c>
      <c r="T11" s="30">
        <f t="shared" si="6"/>
        <v>-3.607119040154308E-2</v>
      </c>
    </row>
    <row r="12" spans="1:20">
      <c r="A12" s="37">
        <v>12</v>
      </c>
      <c r="B12" s="37">
        <v>1.6</v>
      </c>
      <c r="C12" s="37">
        <v>2.8</v>
      </c>
      <c r="D12" s="37">
        <v>4.4000000000000004</v>
      </c>
      <c r="E12" s="37">
        <v>4.2</v>
      </c>
      <c r="F12" s="37">
        <v>0.49</v>
      </c>
      <c r="G12" s="37">
        <v>23</v>
      </c>
      <c r="H12" s="37">
        <v>9</v>
      </c>
      <c r="I12" s="37">
        <v>1.7</v>
      </c>
      <c r="J12" s="37">
        <v>2.4</v>
      </c>
      <c r="K12" s="37">
        <v>13.5</v>
      </c>
      <c r="L12" s="37">
        <v>5.2</v>
      </c>
      <c r="M12" s="30">
        <f t="shared" si="0"/>
        <v>11.562445770562217</v>
      </c>
      <c r="O12" s="30">
        <f t="shared" si="1"/>
        <v>11.0695</v>
      </c>
      <c r="P12" s="30">
        <f t="shared" si="2"/>
        <v>-4.2633347679541002E-2</v>
      </c>
      <c r="Q12" s="30">
        <f t="shared" si="3"/>
        <v>11.235991533340961</v>
      </c>
      <c r="R12" s="30">
        <f t="shared" si="4"/>
        <v>-2.8234012396616184E-2</v>
      </c>
      <c r="S12" s="30">
        <f t="shared" si="5"/>
        <v>11.117805979324119</v>
      </c>
      <c r="T12" s="30">
        <f t="shared" si="6"/>
        <v>-3.8455513656993123E-2</v>
      </c>
    </row>
    <row r="13" spans="1:20">
      <c r="A13" s="37">
        <v>14</v>
      </c>
      <c r="B13" s="37">
        <v>1.9</v>
      </c>
      <c r="C13" s="37">
        <v>3.1</v>
      </c>
      <c r="D13" s="37">
        <v>5</v>
      </c>
      <c r="E13" s="37">
        <v>5.0999999999999996</v>
      </c>
      <c r="F13" s="37">
        <v>0.49</v>
      </c>
      <c r="G13" s="37">
        <v>29</v>
      </c>
      <c r="H13" s="37">
        <v>12</v>
      </c>
      <c r="I13" s="37">
        <v>2.2000000000000002</v>
      </c>
      <c r="J13" s="37">
        <v>2.2999999999999998</v>
      </c>
      <c r="K13" s="37">
        <v>13.2</v>
      </c>
      <c r="L13" s="37">
        <v>5.5</v>
      </c>
      <c r="M13" s="30">
        <f t="shared" si="0"/>
        <v>12.741194683142286</v>
      </c>
      <c r="O13" s="30">
        <f t="shared" si="1"/>
        <v>12.1121</v>
      </c>
      <c r="P13" s="30">
        <f t="shared" si="2"/>
        <v>-4.9374858385503942E-2</v>
      </c>
      <c r="Q13" s="30">
        <f t="shared" si="3"/>
        <v>12.481951856748946</v>
      </c>
      <c r="R13" s="30">
        <f t="shared" si="4"/>
        <v>-2.0346822479397546E-2</v>
      </c>
      <c r="S13" s="30">
        <f t="shared" si="5"/>
        <v>12.310956743782576</v>
      </c>
      <c r="T13" s="30">
        <f t="shared" si="6"/>
        <v>-3.3767472364970012E-2</v>
      </c>
    </row>
    <row r="14" spans="1:20">
      <c r="A14" s="37">
        <v>16</v>
      </c>
      <c r="B14" s="37">
        <v>2.1</v>
      </c>
      <c r="C14" s="37">
        <v>3.5</v>
      </c>
      <c r="D14" s="37">
        <v>5.6</v>
      </c>
      <c r="E14" s="37">
        <v>6</v>
      </c>
      <c r="F14" s="37">
        <v>0.48</v>
      </c>
      <c r="G14" s="37">
        <v>35</v>
      </c>
      <c r="H14" s="37">
        <v>16</v>
      </c>
      <c r="I14" s="37">
        <v>2.7</v>
      </c>
      <c r="J14" s="37">
        <v>2.2000000000000002</v>
      </c>
      <c r="K14" s="37">
        <v>13</v>
      </c>
      <c r="L14" s="37">
        <v>5.8</v>
      </c>
      <c r="M14" s="30">
        <f t="shared" si="0"/>
        <v>13.81976597885342</v>
      </c>
      <c r="O14" s="30">
        <f t="shared" si="1"/>
        <v>13.1547</v>
      </c>
      <c r="P14" s="30">
        <f t="shared" si="2"/>
        <v>-4.8124257666235688E-2</v>
      </c>
      <c r="Q14" s="30">
        <f t="shared" si="3"/>
        <v>13.672395396202852</v>
      </c>
      <c r="R14" s="30">
        <f t="shared" si="4"/>
        <v>-1.0663753849093405E-2</v>
      </c>
      <c r="S14" s="30">
        <f t="shared" si="5"/>
        <v>13.466622081796437</v>
      </c>
      <c r="T14" s="30">
        <f t="shared" si="6"/>
        <v>-2.5553536695002838E-2</v>
      </c>
    </row>
    <row r="15" spans="1:20">
      <c r="A15" s="37">
        <v>18</v>
      </c>
      <c r="B15" s="37">
        <v>2.2999999999999998</v>
      </c>
      <c r="C15" s="37">
        <v>3.8</v>
      </c>
      <c r="D15" s="37">
        <v>6.1</v>
      </c>
      <c r="E15" s="37">
        <v>6.9</v>
      </c>
      <c r="F15" s="37">
        <v>0.48</v>
      </c>
      <c r="G15" s="37">
        <v>40</v>
      </c>
      <c r="H15" s="37">
        <v>20</v>
      </c>
      <c r="I15" s="37">
        <v>3.2</v>
      </c>
      <c r="J15" s="37">
        <v>2.2000000000000002</v>
      </c>
      <c r="K15" s="37">
        <v>12.5</v>
      </c>
      <c r="L15" s="37">
        <v>6.2</v>
      </c>
      <c r="M15" s="30">
        <f t="shared" si="0"/>
        <v>14.820047957642227</v>
      </c>
      <c r="O15" s="30">
        <f t="shared" si="1"/>
        <v>14.1973</v>
      </c>
      <c r="P15" s="30">
        <f t="shared" si="2"/>
        <v>-4.2020643888746385E-2</v>
      </c>
      <c r="Q15" s="30">
        <f t="shared" si="3"/>
        <v>14.816337431718027</v>
      </c>
      <c r="R15" s="30">
        <f t="shared" si="4"/>
        <v>-2.5037205917317358E-4</v>
      </c>
      <c r="S15" s="30">
        <f t="shared" si="5"/>
        <v>14.590483162912156</v>
      </c>
      <c r="T15" s="30">
        <f t="shared" si="6"/>
        <v>-1.549015194729465E-2</v>
      </c>
    </row>
    <row r="16" spans="1:20">
      <c r="A16" s="37">
        <v>20</v>
      </c>
      <c r="B16" s="37">
        <v>2.5</v>
      </c>
      <c r="C16" s="37">
        <v>4</v>
      </c>
      <c r="D16" s="37">
        <v>6.5</v>
      </c>
      <c r="E16" s="37">
        <v>7.8</v>
      </c>
      <c r="F16" s="37">
        <v>0.48</v>
      </c>
      <c r="G16" s="37">
        <v>46</v>
      </c>
      <c r="H16" s="37">
        <v>24</v>
      </c>
      <c r="I16" s="37">
        <v>3.8</v>
      </c>
      <c r="J16" s="37">
        <v>2.1</v>
      </c>
      <c r="K16" s="37">
        <v>12.1</v>
      </c>
      <c r="L16" s="37">
        <v>6.4</v>
      </c>
      <c r="M16" s="30">
        <f t="shared" si="0"/>
        <v>15.756957549709803</v>
      </c>
      <c r="O16" s="30">
        <f t="shared" si="1"/>
        <v>15.2399</v>
      </c>
      <c r="P16" s="30">
        <f t="shared" si="2"/>
        <v>-3.2814554972214492E-2</v>
      </c>
      <c r="Q16" s="30">
        <f t="shared" si="3"/>
        <v>15.920496963754122</v>
      </c>
      <c r="R16" s="30">
        <f t="shared" si="4"/>
        <v>1.0378870002561557E-2</v>
      </c>
      <c r="S16" s="30">
        <f t="shared" si="5"/>
        <v>15.686826009215885</v>
      </c>
      <c r="T16" s="30">
        <f t="shared" si="6"/>
        <v>-4.4508300712664947E-3</v>
      </c>
    </row>
    <row r="17" spans="1:20">
      <c r="A17" s="37">
        <v>22</v>
      </c>
      <c r="B17" s="37">
        <v>2.6</v>
      </c>
      <c r="C17" s="37">
        <v>4.3</v>
      </c>
      <c r="D17" s="37">
        <v>6.9</v>
      </c>
      <c r="E17" s="37">
        <v>8.8000000000000007</v>
      </c>
      <c r="F17" s="37">
        <v>0.47</v>
      </c>
      <c r="G17" s="37">
        <v>52</v>
      </c>
      <c r="H17" s="37">
        <v>29</v>
      </c>
      <c r="I17" s="37">
        <v>4.4000000000000004</v>
      </c>
      <c r="J17" s="37">
        <v>2</v>
      </c>
      <c r="K17" s="37">
        <v>11.8</v>
      </c>
      <c r="L17" s="37">
        <v>6.6</v>
      </c>
      <c r="M17" s="30">
        <f t="shared" si="0"/>
        <v>16.73656774376801</v>
      </c>
      <c r="O17" s="30">
        <f t="shared" si="1"/>
        <v>16.282499999999999</v>
      </c>
      <c r="P17" s="30">
        <f t="shared" si="2"/>
        <v>-2.7130278484791878E-2</v>
      </c>
      <c r="Q17" s="30">
        <f t="shared" si="3"/>
        <v>16.990052078233905</v>
      </c>
      <c r="R17" s="30">
        <f t="shared" si="4"/>
        <v>1.5145538699849741E-2</v>
      </c>
      <c r="S17" s="30">
        <f t="shared" si="5"/>
        <v>16.758989483895597</v>
      </c>
      <c r="T17" s="30">
        <f t="shared" si="6"/>
        <v>1.3396856793374584E-3</v>
      </c>
    </row>
    <row r="18" spans="1:20">
      <c r="A18" s="37">
        <v>24</v>
      </c>
      <c r="B18" s="37">
        <v>2.7</v>
      </c>
      <c r="C18" s="37">
        <v>4.5</v>
      </c>
      <c r="D18" s="37">
        <v>7.2</v>
      </c>
      <c r="E18" s="37">
        <v>9.9</v>
      </c>
      <c r="F18" s="37">
        <v>0.47</v>
      </c>
      <c r="G18" s="37">
        <v>58</v>
      </c>
      <c r="H18" s="37">
        <v>34</v>
      </c>
      <c r="I18" s="37">
        <v>5</v>
      </c>
      <c r="J18" s="37">
        <v>2</v>
      </c>
      <c r="K18" s="37">
        <v>11.6</v>
      </c>
      <c r="L18" s="37">
        <v>6.7</v>
      </c>
      <c r="M18" s="30">
        <f t="shared" si="0"/>
        <v>17.751810818109593</v>
      </c>
      <c r="O18" s="30">
        <f t="shared" si="1"/>
        <v>17.325099999999999</v>
      </c>
      <c r="P18" s="30">
        <f t="shared" si="2"/>
        <v>-2.4037593825317425E-2</v>
      </c>
      <c r="Q18" s="30">
        <f t="shared" si="3"/>
        <v>18.029100777523912</v>
      </c>
      <c r="R18" s="30">
        <f t="shared" si="4"/>
        <v>1.5620375986174868E-2</v>
      </c>
      <c r="S18" s="30">
        <f t="shared" si="5"/>
        <v>17.809641663156565</v>
      </c>
      <c r="T18" s="30">
        <f t="shared" si="6"/>
        <v>3.2577434290802375E-3</v>
      </c>
    </row>
    <row r="19" spans="1:20">
      <c r="A19" s="37">
        <v>26</v>
      </c>
      <c r="B19" s="37">
        <v>2.8</v>
      </c>
      <c r="C19" s="37">
        <v>4.7</v>
      </c>
      <c r="D19" s="37">
        <v>7.5</v>
      </c>
      <c r="E19" s="37">
        <v>11</v>
      </c>
      <c r="F19" s="37">
        <v>0.47</v>
      </c>
      <c r="G19" s="37">
        <v>64</v>
      </c>
      <c r="H19" s="37">
        <v>39</v>
      </c>
      <c r="I19" s="37">
        <v>5.7</v>
      </c>
      <c r="J19" s="37">
        <v>1.9</v>
      </c>
      <c r="K19" s="37">
        <v>11.2</v>
      </c>
      <c r="L19" s="37">
        <v>6.8</v>
      </c>
      <c r="M19" s="30">
        <f t="shared" si="0"/>
        <v>18.712051592547777</v>
      </c>
      <c r="O19" s="30">
        <f t="shared" si="1"/>
        <v>18.367699999999999</v>
      </c>
      <c r="P19" s="30">
        <f t="shared" si="2"/>
        <v>-1.8402663697492067E-2</v>
      </c>
      <c r="Q19" s="30">
        <f t="shared" si="3"/>
        <v>19.040957128713355</v>
      </c>
      <c r="R19" s="30">
        <f t="shared" si="4"/>
        <v>1.7577203362167278E-2</v>
      </c>
      <c r="S19" s="30">
        <f t="shared" si="5"/>
        <v>18.840959216323338</v>
      </c>
      <c r="T19" s="30">
        <f t="shared" si="6"/>
        <v>6.8890160513932824E-3</v>
      </c>
    </row>
    <row r="20" spans="1:20">
      <c r="A20" s="37">
        <v>28</v>
      </c>
      <c r="B20" s="37">
        <v>2.9</v>
      </c>
      <c r="C20" s="38">
        <v>4.9000000000000004</v>
      </c>
      <c r="D20" s="39">
        <v>7.8</v>
      </c>
      <c r="E20" s="37">
        <v>12.1</v>
      </c>
      <c r="F20" s="37">
        <v>0.47</v>
      </c>
      <c r="G20" s="37">
        <v>70</v>
      </c>
      <c r="H20" s="37">
        <v>44</v>
      </c>
      <c r="I20" s="37">
        <v>6.4</v>
      </c>
      <c r="J20" s="37">
        <v>1.9</v>
      </c>
      <c r="K20" s="37">
        <v>10.9</v>
      </c>
      <c r="L20" s="37">
        <v>6.9</v>
      </c>
      <c r="M20" s="30">
        <f t="shared" si="0"/>
        <v>19.625365277680483</v>
      </c>
      <c r="O20" s="30">
        <f t="shared" si="1"/>
        <v>19.410299999999999</v>
      </c>
      <c r="P20" s="30">
        <f t="shared" si="2"/>
        <v>-1.0958536294102676E-2</v>
      </c>
      <c r="Q20" s="30">
        <f t="shared" si="3"/>
        <v>20.028349723988672</v>
      </c>
      <c r="R20" s="30">
        <f t="shared" si="4"/>
        <v>2.0533857108203452E-2</v>
      </c>
      <c r="S20" s="30">
        <f t="shared" si="5"/>
        <v>19.854748697240115</v>
      </c>
      <c r="T20" s="30">
        <f t="shared" si="6"/>
        <v>1.1688109561991428E-2</v>
      </c>
    </row>
    <row r="21" spans="1:20">
      <c r="A21" s="37">
        <v>30</v>
      </c>
      <c r="B21" s="37">
        <v>3</v>
      </c>
      <c r="C21" s="37">
        <v>5</v>
      </c>
      <c r="D21" s="37">
        <v>8</v>
      </c>
      <c r="E21" s="37">
        <v>13.3</v>
      </c>
      <c r="F21" s="37">
        <v>0.46</v>
      </c>
      <c r="G21" s="37">
        <v>76</v>
      </c>
      <c r="H21" s="37">
        <v>49</v>
      </c>
      <c r="I21" s="37">
        <v>7.1</v>
      </c>
      <c r="J21" s="37">
        <v>1.9</v>
      </c>
      <c r="K21" s="37">
        <v>10.7</v>
      </c>
      <c r="L21" s="37">
        <v>6.9</v>
      </c>
      <c r="M21" s="30">
        <f t="shared" si="0"/>
        <v>20.575523046193545</v>
      </c>
      <c r="O21" s="30">
        <f t="shared" si="1"/>
        <v>20.4529</v>
      </c>
      <c r="P21" s="30">
        <f t="shared" si="2"/>
        <v>-5.9596563313723859E-3</v>
      </c>
      <c r="Q21" s="30">
        <f t="shared" si="3"/>
        <v>20.993559348605601</v>
      </c>
      <c r="R21" s="30">
        <f t="shared" si="4"/>
        <v>2.031716527806041E-2</v>
      </c>
      <c r="S21" s="30">
        <f t="shared" si="5"/>
        <v>20.852531371595372</v>
      </c>
      <c r="T21" s="30">
        <f t="shared" si="6"/>
        <v>1.346300284954715E-2</v>
      </c>
    </row>
    <row r="22" spans="1:20">
      <c r="A22" s="37">
        <v>32</v>
      </c>
      <c r="B22" s="37">
        <v>3.1</v>
      </c>
      <c r="C22" s="37">
        <v>5.2</v>
      </c>
      <c r="D22" s="37">
        <v>8.3000000000000007</v>
      </c>
      <c r="E22" s="37">
        <v>14.5</v>
      </c>
      <c r="F22" s="37">
        <v>0.46</v>
      </c>
      <c r="G22" s="37">
        <v>82</v>
      </c>
      <c r="H22" s="37">
        <v>55</v>
      </c>
      <c r="I22" s="37">
        <v>7.8</v>
      </c>
      <c r="J22" s="37">
        <v>1.9</v>
      </c>
      <c r="K22" s="37">
        <v>10.5</v>
      </c>
      <c r="L22" s="37">
        <v>7</v>
      </c>
      <c r="M22" s="30">
        <f t="shared" si="0"/>
        <v>21.483699284957805</v>
      </c>
      <c r="O22" s="30">
        <f t="shared" si="1"/>
        <v>21.4955</v>
      </c>
      <c r="P22" s="30">
        <f t="shared" si="2"/>
        <v>5.4928692147807826E-4</v>
      </c>
      <c r="Q22" s="30">
        <f t="shared" si="3"/>
        <v>21.938517284998294</v>
      </c>
      <c r="R22" s="30">
        <f t="shared" si="4"/>
        <v>2.117037638666534E-2</v>
      </c>
      <c r="S22" s="30">
        <f t="shared" si="5"/>
        <v>21.835604245609481</v>
      </c>
      <c r="T22" s="30">
        <f t="shared" si="6"/>
        <v>1.6380091528188034E-2</v>
      </c>
    </row>
    <row r="23" spans="1:20">
      <c r="A23" s="37">
        <v>34</v>
      </c>
      <c r="B23" s="37">
        <v>3.1</v>
      </c>
      <c r="C23" s="37">
        <v>5.4</v>
      </c>
      <c r="D23" s="37">
        <v>8.5</v>
      </c>
      <c r="E23" s="37">
        <v>15.8</v>
      </c>
      <c r="F23" s="37">
        <v>0.46</v>
      </c>
      <c r="G23" s="37">
        <v>88</v>
      </c>
      <c r="H23" s="37">
        <v>61</v>
      </c>
      <c r="I23" s="37">
        <v>8.6</v>
      </c>
      <c r="J23" s="37">
        <v>1.8</v>
      </c>
      <c r="K23" s="37">
        <v>10.199999999999999</v>
      </c>
      <c r="L23" s="37">
        <v>7.1</v>
      </c>
      <c r="M23" s="30">
        <f t="shared" si="0"/>
        <v>22.42609239636699</v>
      </c>
      <c r="O23" s="30">
        <f t="shared" si="1"/>
        <v>22.5381</v>
      </c>
      <c r="P23" s="30">
        <f t="shared" si="2"/>
        <v>4.9945216337000187E-3</v>
      </c>
      <c r="Q23" s="30">
        <f t="shared" si="3"/>
        <v>22.864877261234106</v>
      </c>
      <c r="R23" s="30">
        <f t="shared" si="4"/>
        <v>1.956581900724709E-2</v>
      </c>
      <c r="S23" s="30">
        <f t="shared" si="5"/>
        <v>22.805085044028118</v>
      </c>
      <c r="T23" s="30">
        <f t="shared" si="6"/>
        <v>1.6899629278372411E-2</v>
      </c>
    </row>
    <row r="24" spans="1:20">
      <c r="A24" s="37">
        <v>36</v>
      </c>
      <c r="B24" s="37">
        <v>3.2</v>
      </c>
      <c r="C24" s="37">
        <v>5.5</v>
      </c>
      <c r="D24" s="37">
        <v>8.6999999999999993</v>
      </c>
      <c r="E24" s="37">
        <v>17.100000000000001</v>
      </c>
      <c r="F24" s="37">
        <v>0.46</v>
      </c>
      <c r="G24" s="37">
        <v>94</v>
      </c>
      <c r="H24" s="37">
        <v>68</v>
      </c>
      <c r="I24" s="37">
        <v>9.4</v>
      </c>
      <c r="J24" s="37">
        <v>1.8</v>
      </c>
      <c r="K24" s="37">
        <v>10</v>
      </c>
      <c r="L24" s="37">
        <v>7.2</v>
      </c>
      <c r="M24" s="30">
        <f t="shared" si="0"/>
        <v>23.330450175131258</v>
      </c>
      <c r="O24" s="30">
        <f t="shared" si="1"/>
        <v>23.5807</v>
      </c>
      <c r="P24" s="30">
        <f t="shared" si="2"/>
        <v>1.0726317880290728E-2</v>
      </c>
      <c r="Q24" s="30">
        <f t="shared" si="3"/>
        <v>23.774069241472265</v>
      </c>
      <c r="R24" s="30">
        <f t="shared" si="4"/>
        <v>1.9014595218307291E-2</v>
      </c>
      <c r="S24" s="30">
        <f t="shared" si="5"/>
        <v>23.761946054865817</v>
      </c>
      <c r="T24" s="30">
        <f t="shared" si="6"/>
        <v>1.8494965870590251E-2</v>
      </c>
    </row>
    <row r="25" spans="1:20">
      <c r="A25" s="37">
        <v>38</v>
      </c>
      <c r="B25" s="37">
        <v>3.2</v>
      </c>
      <c r="C25" s="37">
        <v>5.7</v>
      </c>
      <c r="D25" s="37">
        <v>8.9</v>
      </c>
      <c r="E25" s="37">
        <v>18.5</v>
      </c>
      <c r="F25" s="37">
        <v>0.46</v>
      </c>
      <c r="G25" s="37">
        <v>100</v>
      </c>
      <c r="H25" s="37">
        <v>75</v>
      </c>
      <c r="I25" s="37">
        <v>10.1</v>
      </c>
      <c r="J25" s="37">
        <v>1.8</v>
      </c>
      <c r="K25" s="37">
        <v>9.9</v>
      </c>
      <c r="L25" s="37">
        <v>7.4</v>
      </c>
      <c r="M25" s="30">
        <f t="shared" si="0"/>
        <v>24.266711549775604</v>
      </c>
      <c r="O25" s="30">
        <f t="shared" si="1"/>
        <v>24.6233</v>
      </c>
      <c r="P25" s="30">
        <f t="shared" si="2"/>
        <v>1.4694551814034076E-2</v>
      </c>
      <c r="Q25" s="30">
        <f t="shared" si="3"/>
        <v>24.667340392981473</v>
      </c>
      <c r="R25" s="30">
        <f t="shared" si="4"/>
        <v>1.6509399816456528E-2</v>
      </c>
      <c r="S25" s="30">
        <f t="shared" si="5"/>
        <v>24.707040062020788</v>
      </c>
      <c r="T25" s="30">
        <f t="shared" si="6"/>
        <v>1.8145372163096234E-2</v>
      </c>
    </row>
    <row r="26" spans="1:20">
      <c r="A26" s="37">
        <v>40</v>
      </c>
      <c r="B26" s="37">
        <v>3.3</v>
      </c>
      <c r="C26" s="37">
        <v>5.8</v>
      </c>
      <c r="D26" s="37">
        <v>9.1</v>
      </c>
      <c r="E26" s="37">
        <v>20.9</v>
      </c>
      <c r="F26" s="37">
        <v>0.45</v>
      </c>
      <c r="G26" s="37">
        <v>106</v>
      </c>
      <c r="H26" s="37">
        <v>83</v>
      </c>
      <c r="I26" s="37">
        <v>10.9</v>
      </c>
      <c r="J26" s="37">
        <v>1.9</v>
      </c>
      <c r="K26" s="37">
        <v>9.8000000000000007</v>
      </c>
      <c r="L26" s="37">
        <v>7.6</v>
      </c>
      <c r="M26" s="30">
        <f t="shared" si="0"/>
        <v>25.792783140330599</v>
      </c>
      <c r="O26" s="30">
        <f t="shared" si="1"/>
        <v>25.665900000000001</v>
      </c>
      <c r="P26" s="30">
        <f t="shared" si="2"/>
        <v>-4.9193272257695483E-3</v>
      </c>
      <c r="Q26" s="30">
        <f t="shared" si="3"/>
        <v>25.545786799150338</v>
      </c>
      <c r="R26" s="30">
        <f t="shared" si="4"/>
        <v>-9.5761802763365683E-3</v>
      </c>
      <c r="S26" s="30">
        <f t="shared" si="5"/>
        <v>25.641120534346285</v>
      </c>
      <c r="T26" s="30">
        <f t="shared" si="6"/>
        <v>-5.8800403647471374E-3</v>
      </c>
    </row>
    <row r="27" spans="1:20">
      <c r="A27" s="37">
        <v>42</v>
      </c>
      <c r="B27" s="37">
        <v>3.3</v>
      </c>
      <c r="C27" s="37">
        <v>5.9</v>
      </c>
      <c r="D27" s="37">
        <v>9.1999999999999993</v>
      </c>
      <c r="E27" s="37">
        <v>21.6</v>
      </c>
      <c r="F27" s="37">
        <v>0.45</v>
      </c>
      <c r="G27" s="37">
        <v>112</v>
      </c>
      <c r="H27" s="37">
        <v>91</v>
      </c>
      <c r="I27" s="37">
        <v>11.6</v>
      </c>
      <c r="J27" s="37">
        <v>1.9</v>
      </c>
      <c r="K27" s="37">
        <v>9.6999999999999993</v>
      </c>
      <c r="L27" s="37">
        <v>7.8</v>
      </c>
      <c r="M27" s="30">
        <f t="shared" si="0"/>
        <v>26.221162334209897</v>
      </c>
      <c r="O27" s="30">
        <f t="shared" si="1"/>
        <v>26.708500000000001</v>
      </c>
      <c r="P27" s="30">
        <f t="shared" si="2"/>
        <v>1.8585662205915659E-2</v>
      </c>
      <c r="Q27" s="30">
        <f t="shared" si="3"/>
        <v>26.410378365854534</v>
      </c>
      <c r="R27" s="30">
        <f t="shared" si="4"/>
        <v>7.2161572867337461E-3</v>
      </c>
      <c r="S27" s="30">
        <f t="shared" si="5"/>
        <v>26.564857566648289</v>
      </c>
      <c r="T27" s="30">
        <f t="shared" si="6"/>
        <v>1.3107551376163993E-2</v>
      </c>
    </row>
    <row r="28" spans="1:20">
      <c r="A28" s="37">
        <v>44</v>
      </c>
      <c r="B28" s="37">
        <v>3.3</v>
      </c>
      <c r="C28" s="37">
        <v>6</v>
      </c>
      <c r="D28" s="37">
        <v>9.3000000000000007</v>
      </c>
      <c r="E28" s="37">
        <v>23.4</v>
      </c>
      <c r="F28" s="37">
        <v>0.45</v>
      </c>
      <c r="G28" s="37">
        <v>118</v>
      </c>
      <c r="H28" s="37">
        <v>100</v>
      </c>
      <c r="I28" s="37">
        <v>12.3</v>
      </c>
      <c r="J28" s="37">
        <v>1.9</v>
      </c>
      <c r="K28" s="37">
        <v>9.6</v>
      </c>
      <c r="L28" s="37">
        <v>8.1</v>
      </c>
      <c r="M28" s="30">
        <f t="shared" si="0"/>
        <v>27.29185104880338</v>
      </c>
      <c r="O28" s="30">
        <f t="shared" si="1"/>
        <v>27.751100000000001</v>
      </c>
      <c r="P28" s="30">
        <f t="shared" si="2"/>
        <v>1.6827328801384347E-2</v>
      </c>
      <c r="Q28" s="30">
        <f t="shared" si="3"/>
        <v>27.26197863578999</v>
      </c>
      <c r="R28" s="30">
        <f t="shared" si="4"/>
        <v>-1.0945543034062396E-3</v>
      </c>
      <c r="S28" s="30">
        <f t="shared" si="5"/>
        <v>27.478850626025132</v>
      </c>
      <c r="T28" s="30">
        <f t="shared" si="6"/>
        <v>6.8518466148506435E-3</v>
      </c>
    </row>
    <row r="29" spans="1:20">
      <c r="A29" s="37">
        <v>46</v>
      </c>
      <c r="B29" s="37">
        <v>3.4</v>
      </c>
      <c r="C29" s="37">
        <v>6.1</v>
      </c>
      <c r="D29" s="37">
        <v>9.5</v>
      </c>
      <c r="E29" s="37">
        <v>25.4</v>
      </c>
      <c r="F29" s="37">
        <v>0.45</v>
      </c>
      <c r="G29" s="37">
        <v>124</v>
      </c>
      <c r="H29" s="37">
        <v>110</v>
      </c>
      <c r="I29" s="37">
        <v>13</v>
      </c>
      <c r="J29" s="37">
        <v>2</v>
      </c>
      <c r="K29" s="37">
        <v>9.6</v>
      </c>
      <c r="L29" s="37">
        <v>8.4</v>
      </c>
      <c r="M29" s="30">
        <f t="shared" si="0"/>
        <v>28.434259457682881</v>
      </c>
      <c r="O29" s="30">
        <f t="shared" si="1"/>
        <v>28.793700000000001</v>
      </c>
      <c r="P29" s="30">
        <f t="shared" si="2"/>
        <v>1.2641107916035428E-2</v>
      </c>
      <c r="Q29" s="30">
        <f t="shared" si="3"/>
        <v>28.10136073531482</v>
      </c>
      <c r="R29" s="30">
        <f t="shared" si="4"/>
        <v>-1.1707662823556042E-2</v>
      </c>
      <c r="S29" s="30">
        <f t="shared" si="5"/>
        <v>28.383638859744817</v>
      </c>
      <c r="T29" s="30">
        <f t="shared" si="6"/>
        <v>-1.7802678495425438E-3</v>
      </c>
    </row>
    <row r="30" spans="1:20">
      <c r="A30" s="37">
        <v>48</v>
      </c>
      <c r="B30" s="37">
        <v>3.4</v>
      </c>
      <c r="C30" s="37">
        <v>6.2</v>
      </c>
      <c r="D30" s="37">
        <v>9.6</v>
      </c>
      <c r="E30" s="37">
        <v>27.7</v>
      </c>
      <c r="F30" s="37">
        <v>0.45</v>
      </c>
      <c r="G30" s="37">
        <v>130</v>
      </c>
      <c r="H30" s="37">
        <v>121</v>
      </c>
      <c r="I30" s="37">
        <v>13.6</v>
      </c>
      <c r="J30" s="37">
        <v>2</v>
      </c>
      <c r="K30" s="37">
        <v>9.5</v>
      </c>
      <c r="L30" s="37">
        <v>8.9</v>
      </c>
      <c r="M30" s="30">
        <f t="shared" si="0"/>
        <v>29.693743191606885</v>
      </c>
      <c r="O30" s="30">
        <f t="shared" si="1"/>
        <v>29.836299999999998</v>
      </c>
      <c r="P30" s="30">
        <f t="shared" si="2"/>
        <v>4.8009039302733579E-3</v>
      </c>
      <c r="Q30" s="30">
        <f t="shared" si="3"/>
        <v>28.929220343534908</v>
      </c>
      <c r="R30" s="30">
        <f t="shared" si="4"/>
        <v>-2.574693406414566E-2</v>
      </c>
      <c r="S30" s="30">
        <f t="shared" si="5"/>
        <v>29.279709516776517</v>
      </c>
      <c r="T30" s="30">
        <f t="shared" si="6"/>
        <v>-1.3943465199341946E-2</v>
      </c>
    </row>
    <row r="31" spans="1:20">
      <c r="A31" s="40">
        <v>50</v>
      </c>
      <c r="B31" s="40">
        <v>3.5</v>
      </c>
      <c r="C31" s="40">
        <v>6.2</v>
      </c>
      <c r="D31" s="40">
        <v>9.6999999999999993</v>
      </c>
      <c r="E31" s="40">
        <v>30.4</v>
      </c>
      <c r="F31" s="40">
        <v>0.45</v>
      </c>
      <c r="G31" s="40">
        <v>135</v>
      </c>
      <c r="H31" s="40">
        <v>133</v>
      </c>
      <c r="I31" s="40">
        <v>14.2</v>
      </c>
      <c r="J31" s="40">
        <v>2.1</v>
      </c>
      <c r="K31" s="40">
        <v>9.5</v>
      </c>
      <c r="L31" s="40">
        <v>9.4</v>
      </c>
      <c r="M31" s="30">
        <f t="shared" si="0"/>
        <v>31.107266900175009</v>
      </c>
      <c r="O31" s="30">
        <f t="shared" si="1"/>
        <v>30.878899999999998</v>
      </c>
      <c r="P31" s="30">
        <f t="shared" si="2"/>
        <v>-7.3412717648211803E-3</v>
      </c>
      <c r="Q31" s="30">
        <f t="shared" si="3"/>
        <v>29.746186340217587</v>
      </c>
      <c r="R31" s="30">
        <f t="shared" si="4"/>
        <v>-4.3754424466964814E-2</v>
      </c>
      <c r="S31" s="30">
        <f t="shared" si="5"/>
        <v>30.167504892298844</v>
      </c>
      <c r="T31" s="30">
        <f t="shared" si="6"/>
        <v>-3.0210368879140533E-2</v>
      </c>
    </row>
    <row r="32" spans="1:20">
      <c r="A32" s="30" t="s">
        <v>1487</v>
      </c>
    </row>
  </sheetData>
  <mergeCells count="1">
    <mergeCell ref="I6:I7"/>
  </mergeCell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U30"/>
  <sheetViews>
    <sheetView workbookViewId="0">
      <selection activeCell="D11" sqref="D11"/>
    </sheetView>
  </sheetViews>
  <sheetFormatPr baseColWidth="10" defaultRowHeight="12.75"/>
  <cols>
    <col min="1" max="1" width="5.42578125" style="42" customWidth="1"/>
    <col min="2" max="2" width="5" style="42" customWidth="1"/>
    <col min="3" max="3" width="5.42578125" style="42" customWidth="1"/>
    <col min="4" max="4" width="6.85546875" style="42" customWidth="1"/>
    <col min="5" max="5" width="5.85546875" style="42" customWidth="1"/>
    <col min="6" max="6" width="7" style="42" customWidth="1"/>
    <col min="7" max="7" width="5.85546875" style="42" customWidth="1"/>
    <col min="8" max="9" width="5.5703125" style="42" customWidth="1"/>
    <col min="10" max="10" width="7" style="42" customWidth="1"/>
    <col min="11" max="11" width="5.140625" style="42" customWidth="1"/>
    <col min="12" max="12" width="7" style="42" customWidth="1"/>
    <col min="13" max="14" width="5.85546875" style="42" customWidth="1"/>
    <col min="15" max="15" width="6" style="42" customWidth="1"/>
    <col min="16" max="16384" width="11.42578125" style="42"/>
  </cols>
  <sheetData>
    <row r="1" spans="1:21">
      <c r="A1" s="41" t="s">
        <v>1498</v>
      </c>
      <c r="R1" s="30">
        <v>3.0264000000000002</v>
      </c>
      <c r="S1" s="30"/>
      <c r="T1" s="30">
        <v>1.3693</v>
      </c>
      <c r="U1" s="30"/>
    </row>
    <row r="2" spans="1:21">
      <c r="A2" s="42" t="s">
        <v>1487</v>
      </c>
      <c r="R2" s="30">
        <f>0.6516</f>
        <v>0.65159999999999996</v>
      </c>
      <c r="S2" s="30"/>
      <c r="T2" s="30">
        <v>0.8246</v>
      </c>
      <c r="U2" s="30"/>
    </row>
    <row r="3" spans="1:21">
      <c r="A3" s="41" t="s">
        <v>1499</v>
      </c>
      <c r="R3" s="30"/>
      <c r="S3" s="30"/>
      <c r="T3" s="30"/>
      <c r="U3" s="30"/>
    </row>
    <row r="4" spans="1:21">
      <c r="A4" s="41" t="s">
        <v>1617</v>
      </c>
      <c r="R4" s="30"/>
      <c r="S4" s="30"/>
      <c r="T4" s="30"/>
      <c r="U4" s="30"/>
    </row>
    <row r="5" spans="1:21">
      <c r="A5" s="42" t="s">
        <v>1487</v>
      </c>
      <c r="R5" s="30"/>
      <c r="S5" s="30"/>
      <c r="T5" s="30"/>
      <c r="U5" s="30"/>
    </row>
    <row r="6" spans="1:21" ht="31.5">
      <c r="A6" s="311" t="s">
        <v>1623</v>
      </c>
      <c r="B6" s="311" t="s">
        <v>1638</v>
      </c>
      <c r="C6" s="43" t="s">
        <v>1500</v>
      </c>
      <c r="D6" s="43"/>
      <c r="E6" s="43" t="s">
        <v>1455</v>
      </c>
      <c r="F6" s="43"/>
      <c r="G6" s="44" t="s">
        <v>1501</v>
      </c>
      <c r="H6" s="44"/>
      <c r="I6" s="43" t="s">
        <v>1502</v>
      </c>
      <c r="J6" s="43"/>
      <c r="K6" s="319" t="s">
        <v>1639</v>
      </c>
      <c r="L6" s="320"/>
      <c r="M6" s="44" t="s">
        <v>1503</v>
      </c>
      <c r="N6" s="44"/>
      <c r="O6" s="44"/>
      <c r="R6" s="30"/>
      <c r="S6" s="30"/>
      <c r="T6" s="30"/>
      <c r="U6" s="30"/>
    </row>
    <row r="7" spans="1:21">
      <c r="A7" s="312"/>
      <c r="B7" s="312"/>
      <c r="C7" s="311" t="s">
        <v>1626</v>
      </c>
      <c r="D7" s="314" t="s">
        <v>1625</v>
      </c>
      <c r="E7" s="311" t="s">
        <v>1626</v>
      </c>
      <c r="F7" s="311" t="s">
        <v>1625</v>
      </c>
      <c r="G7" s="311" t="s">
        <v>1627</v>
      </c>
      <c r="H7" s="311" t="s">
        <v>1628</v>
      </c>
      <c r="I7" s="311" t="s">
        <v>1629</v>
      </c>
      <c r="J7" s="311" t="s">
        <v>1630</v>
      </c>
      <c r="K7" s="311" t="s">
        <v>1632</v>
      </c>
      <c r="L7" s="314" t="s">
        <v>1633</v>
      </c>
      <c r="M7" s="311" t="s">
        <v>1634</v>
      </c>
      <c r="N7" s="311" t="s">
        <v>1635</v>
      </c>
      <c r="O7" s="311" t="s">
        <v>1636</v>
      </c>
      <c r="P7" s="42" t="s">
        <v>1618</v>
      </c>
      <c r="R7" s="30"/>
      <c r="S7" s="30"/>
      <c r="T7" s="30"/>
      <c r="U7" s="30"/>
    </row>
    <row r="8" spans="1:21">
      <c r="A8" s="312"/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42" t="s">
        <v>1619</v>
      </c>
      <c r="R8" s="30" t="s">
        <v>1589</v>
      </c>
      <c r="S8" s="30" t="s">
        <v>1590</v>
      </c>
      <c r="T8" s="30" t="s">
        <v>1591</v>
      </c>
      <c r="U8" s="30"/>
    </row>
    <row r="9" spans="1:21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R9" s="30"/>
      <c r="S9" s="30"/>
      <c r="T9" s="30"/>
      <c r="U9" s="30"/>
    </row>
    <row r="10" spans="1:21">
      <c r="A10" s="46">
        <v>14</v>
      </c>
      <c r="B10" s="46">
        <v>9</v>
      </c>
      <c r="C10" s="46">
        <v>4</v>
      </c>
      <c r="D10" s="46">
        <v>36</v>
      </c>
      <c r="E10" s="46">
        <v>0.5</v>
      </c>
      <c r="F10" s="46">
        <v>5</v>
      </c>
      <c r="G10" s="46">
        <v>5.2</v>
      </c>
      <c r="H10" s="46">
        <v>47</v>
      </c>
      <c r="I10" s="46">
        <v>16.5</v>
      </c>
      <c r="J10" s="46">
        <v>149</v>
      </c>
      <c r="K10" s="46">
        <v>0.4</v>
      </c>
      <c r="L10" s="46">
        <v>4</v>
      </c>
      <c r="M10" s="46">
        <v>1.3</v>
      </c>
      <c r="N10" s="46">
        <v>13</v>
      </c>
      <c r="O10" s="46">
        <v>41.3</v>
      </c>
      <c r="P10" s="42">
        <f>(G10/PI())^0.5*10</f>
        <v>12.865501965161375</v>
      </c>
      <c r="R10" s="30">
        <f>R$1+R$2*A10</f>
        <v>12.1488</v>
      </c>
      <c r="S10" s="30">
        <f>(R10-P10)/P10</f>
        <v>-5.5707267940430148E-2</v>
      </c>
      <c r="T10" s="30">
        <f>T$1*A10^T$2</f>
        <v>12.066902019559517</v>
      </c>
      <c r="U10" s="30">
        <f>(T10-P10)/P10</f>
        <v>-6.2072972182849497E-2</v>
      </c>
    </row>
    <row r="11" spans="1:21">
      <c r="A11" s="47">
        <v>16</v>
      </c>
      <c r="B11" s="47">
        <v>24</v>
      </c>
      <c r="C11" s="47">
        <v>14</v>
      </c>
      <c r="D11" s="47">
        <v>336</v>
      </c>
      <c r="E11" s="47">
        <v>2.4</v>
      </c>
      <c r="F11" s="47">
        <v>58</v>
      </c>
      <c r="G11" s="47">
        <v>5.8</v>
      </c>
      <c r="H11" s="47">
        <v>139</v>
      </c>
      <c r="I11" s="47">
        <v>19</v>
      </c>
      <c r="J11" s="47">
        <v>456</v>
      </c>
      <c r="K11" s="47">
        <v>2.1</v>
      </c>
      <c r="L11" s="47">
        <v>50</v>
      </c>
      <c r="M11" s="47">
        <v>1.1000000000000001</v>
      </c>
      <c r="N11" s="47">
        <v>2.8</v>
      </c>
      <c r="O11" s="47">
        <v>9</v>
      </c>
      <c r="P11" s="42">
        <f t="shared" ref="P11:P23" si="0">(G11/PI())^0.5*10</f>
        <v>13.587484461319491</v>
      </c>
      <c r="R11" s="30">
        <f t="shared" ref="R11:R23" si="1">R$1+R$2*A11</f>
        <v>13.452</v>
      </c>
      <c r="S11" s="30">
        <f t="shared" ref="S11:S23" si="2">(R11-P11)/P11</f>
        <v>-9.9712689059689268E-3</v>
      </c>
      <c r="T11" s="30">
        <f t="shared" ref="T11:T23" si="3">T$1*A11^T$2</f>
        <v>13.471499702522305</v>
      </c>
      <c r="U11" s="30">
        <f t="shared" ref="U11:U23" si="4">(T11-P11)/P11</f>
        <v>-8.5361465639477684E-3</v>
      </c>
    </row>
    <row r="12" spans="1:21">
      <c r="A12" s="47">
        <v>18</v>
      </c>
      <c r="B12" s="47">
        <v>39</v>
      </c>
      <c r="C12" s="47">
        <v>24</v>
      </c>
      <c r="D12" s="47">
        <v>936</v>
      </c>
      <c r="E12" s="47">
        <v>4.8</v>
      </c>
      <c r="F12" s="47">
        <v>187</v>
      </c>
      <c r="G12" s="47">
        <v>6.7</v>
      </c>
      <c r="H12" s="47">
        <v>261</v>
      </c>
      <c r="I12" s="47">
        <v>22.3</v>
      </c>
      <c r="J12" s="47">
        <v>870</v>
      </c>
      <c r="K12" s="47">
        <v>4.5</v>
      </c>
      <c r="L12" s="47">
        <v>176</v>
      </c>
      <c r="M12" s="47">
        <v>1.1000000000000001</v>
      </c>
      <c r="N12" s="47">
        <v>1.5</v>
      </c>
      <c r="O12" s="47">
        <v>5</v>
      </c>
      <c r="P12" s="42">
        <f t="shared" si="0"/>
        <v>14.60368527951557</v>
      </c>
      <c r="R12" s="30">
        <f t="shared" si="1"/>
        <v>14.7552</v>
      </c>
      <c r="S12" s="30">
        <f t="shared" si="2"/>
        <v>1.0375101735242E-2</v>
      </c>
      <c r="T12" s="30">
        <f t="shared" si="3"/>
        <v>14.845550814667408</v>
      </c>
      <c r="U12" s="30">
        <f t="shared" si="4"/>
        <v>1.6561952036250761E-2</v>
      </c>
    </row>
    <row r="13" spans="1:21">
      <c r="A13" s="47">
        <v>20</v>
      </c>
      <c r="B13" s="47">
        <v>57</v>
      </c>
      <c r="C13" s="47">
        <v>33</v>
      </c>
      <c r="D13" s="47">
        <v>1881</v>
      </c>
      <c r="E13" s="47">
        <v>7.6</v>
      </c>
      <c r="F13" s="47">
        <v>433</v>
      </c>
      <c r="G13" s="47">
        <v>7.7</v>
      </c>
      <c r="H13" s="47">
        <v>439</v>
      </c>
      <c r="I13" s="47">
        <v>26.6</v>
      </c>
      <c r="J13" s="47">
        <v>1516</v>
      </c>
      <c r="K13" s="47">
        <v>7.8</v>
      </c>
      <c r="L13" s="47">
        <v>445</v>
      </c>
      <c r="M13" s="47">
        <v>1</v>
      </c>
      <c r="N13" s="47">
        <v>1</v>
      </c>
      <c r="O13" s="47">
        <v>3.4</v>
      </c>
      <c r="P13" s="42">
        <f t="shared" si="0"/>
        <v>15.655625581928012</v>
      </c>
      <c r="R13" s="30">
        <f t="shared" si="1"/>
        <v>16.058399999999999</v>
      </c>
      <c r="S13" s="30">
        <f t="shared" si="2"/>
        <v>2.5727136610684358E-2</v>
      </c>
      <c r="T13" s="30">
        <f t="shared" si="3"/>
        <v>16.193023367120475</v>
      </c>
      <c r="U13" s="30">
        <f t="shared" si="4"/>
        <v>3.4326177665669567E-2</v>
      </c>
    </row>
    <row r="14" spans="1:21">
      <c r="A14" s="47">
        <v>22</v>
      </c>
      <c r="B14" s="47">
        <v>42</v>
      </c>
      <c r="C14" s="47">
        <v>43</v>
      </c>
      <c r="D14" s="47">
        <v>1806</v>
      </c>
      <c r="E14" s="47">
        <v>10.5</v>
      </c>
      <c r="F14" s="47">
        <v>441</v>
      </c>
      <c r="G14" s="47">
        <v>8.9</v>
      </c>
      <c r="H14" s="47">
        <v>374</v>
      </c>
      <c r="I14" s="47">
        <v>32.6</v>
      </c>
      <c r="J14" s="47">
        <v>1369</v>
      </c>
      <c r="K14" s="47">
        <v>11.3</v>
      </c>
      <c r="L14" s="47">
        <v>475</v>
      </c>
      <c r="M14" s="47">
        <v>0.9</v>
      </c>
      <c r="N14" s="47">
        <v>0.8</v>
      </c>
      <c r="O14" s="47">
        <v>2.9</v>
      </c>
      <c r="P14" s="42">
        <f t="shared" si="0"/>
        <v>16.831393249032406</v>
      </c>
      <c r="R14" s="30">
        <f t="shared" si="1"/>
        <v>17.361599999999999</v>
      </c>
      <c r="S14" s="30">
        <f t="shared" si="2"/>
        <v>3.1501061327651757E-2</v>
      </c>
      <c r="T14" s="30">
        <f t="shared" si="3"/>
        <v>17.517025039269772</v>
      </c>
      <c r="U14" s="30">
        <f t="shared" si="4"/>
        <v>4.0735296246303399E-2</v>
      </c>
    </row>
    <row r="15" spans="1:21">
      <c r="A15" s="47">
        <v>24</v>
      </c>
      <c r="B15" s="47">
        <v>63</v>
      </c>
      <c r="C15" s="47">
        <v>53</v>
      </c>
      <c r="D15" s="47">
        <v>3339</v>
      </c>
      <c r="E15" s="47">
        <v>13.7</v>
      </c>
      <c r="F15" s="47">
        <v>863</v>
      </c>
      <c r="G15" s="47">
        <v>10.4</v>
      </c>
      <c r="H15" s="47">
        <v>655</v>
      </c>
      <c r="I15" s="47">
        <v>40.700000000000003</v>
      </c>
      <c r="J15" s="47">
        <v>2564</v>
      </c>
      <c r="K15" s="47">
        <v>15.2</v>
      </c>
      <c r="L15" s="47">
        <v>958</v>
      </c>
      <c r="M15" s="47">
        <v>0.9</v>
      </c>
      <c r="N15" s="47">
        <v>0.7</v>
      </c>
      <c r="O15" s="47">
        <v>2.7</v>
      </c>
      <c r="P15" s="42">
        <f t="shared" si="0"/>
        <v>18.19456736586892</v>
      </c>
      <c r="R15" s="30">
        <f t="shared" si="1"/>
        <v>18.6648</v>
      </c>
      <c r="S15" s="30">
        <f t="shared" si="2"/>
        <v>2.584467246048323E-2</v>
      </c>
      <c r="T15" s="30">
        <f t="shared" si="3"/>
        <v>18.820051090793616</v>
      </c>
      <c r="U15" s="30">
        <f t="shared" si="4"/>
        <v>3.4377499192315863E-2</v>
      </c>
    </row>
    <row r="16" spans="1:21">
      <c r="A16" s="47">
        <v>26</v>
      </c>
      <c r="B16" s="47">
        <v>60</v>
      </c>
      <c r="C16" s="47">
        <v>65</v>
      </c>
      <c r="D16" s="47">
        <v>3900</v>
      </c>
      <c r="E16" s="47">
        <v>17.2</v>
      </c>
      <c r="F16" s="47">
        <v>1032</v>
      </c>
      <c r="G16" s="47">
        <v>12.2</v>
      </c>
      <c r="H16" s="47">
        <v>732</v>
      </c>
      <c r="I16" s="47">
        <v>51.1</v>
      </c>
      <c r="J16" s="47">
        <v>3066</v>
      </c>
      <c r="K16" s="47">
        <v>19.5</v>
      </c>
      <c r="L16" s="47">
        <v>1170</v>
      </c>
      <c r="M16" s="47">
        <v>0.9</v>
      </c>
      <c r="N16" s="47">
        <v>0.6</v>
      </c>
      <c r="O16" s="47">
        <v>2.6</v>
      </c>
      <c r="P16" s="42">
        <f t="shared" si="0"/>
        <v>19.706294962377491</v>
      </c>
      <c r="R16" s="30">
        <f t="shared" si="1"/>
        <v>19.967999999999996</v>
      </c>
      <c r="S16" s="30">
        <f t="shared" si="2"/>
        <v>1.3280276080417069E-2</v>
      </c>
      <c r="T16" s="30">
        <f t="shared" si="3"/>
        <v>20.104146063474278</v>
      </c>
      <c r="U16" s="30">
        <f t="shared" si="4"/>
        <v>2.0189036135729688E-2</v>
      </c>
    </row>
    <row r="17" spans="1:21">
      <c r="A17" s="47">
        <v>28</v>
      </c>
      <c r="B17" s="47">
        <v>78</v>
      </c>
      <c r="C17" s="47">
        <v>80</v>
      </c>
      <c r="D17" s="47">
        <v>6240</v>
      </c>
      <c r="E17" s="47">
        <v>21.3</v>
      </c>
      <c r="F17" s="47">
        <v>1661</v>
      </c>
      <c r="G17" s="47">
        <v>14.2</v>
      </c>
      <c r="H17" s="47">
        <v>1108</v>
      </c>
      <c r="I17" s="47">
        <v>63.5</v>
      </c>
      <c r="J17" s="47">
        <v>4953</v>
      </c>
      <c r="K17" s="47">
        <v>24</v>
      </c>
      <c r="L17" s="47">
        <v>1.8720000000000001</v>
      </c>
      <c r="M17" s="47">
        <v>0.9</v>
      </c>
      <c r="N17" s="47">
        <v>0.6</v>
      </c>
      <c r="O17" s="47">
        <v>2.6</v>
      </c>
      <c r="P17" s="42">
        <f t="shared" si="0"/>
        <v>21.260292528114064</v>
      </c>
      <c r="R17" s="30">
        <f t="shared" si="1"/>
        <v>21.271199999999997</v>
      </c>
      <c r="S17" s="30">
        <f t="shared" si="2"/>
        <v>5.1304429943796828E-4</v>
      </c>
      <c r="T17" s="30">
        <f t="shared" si="3"/>
        <v>21.371013605605071</v>
      </c>
      <c r="U17" s="30">
        <f t="shared" si="4"/>
        <v>5.2078811871752251E-3</v>
      </c>
    </row>
    <row r="18" spans="1:21">
      <c r="A18" s="47">
        <v>30</v>
      </c>
      <c r="B18" s="47">
        <v>75</v>
      </c>
      <c r="C18" s="47">
        <v>99</v>
      </c>
      <c r="D18" s="47">
        <v>7425</v>
      </c>
      <c r="E18" s="47">
        <v>26</v>
      </c>
      <c r="F18" s="47">
        <v>1950</v>
      </c>
      <c r="G18" s="47">
        <v>16.399999999999999</v>
      </c>
      <c r="H18" s="47">
        <v>1230</v>
      </c>
      <c r="I18" s="47">
        <v>78.400000000000006</v>
      </c>
      <c r="J18" s="47">
        <v>5880</v>
      </c>
      <c r="K18" s="47">
        <v>28.7</v>
      </c>
      <c r="L18" s="47">
        <v>2153</v>
      </c>
      <c r="M18" s="47">
        <v>0.9</v>
      </c>
      <c r="N18" s="47">
        <v>0.6</v>
      </c>
      <c r="O18" s="47">
        <v>2.7</v>
      </c>
      <c r="P18" s="42">
        <f t="shared" si="0"/>
        <v>22.847936741452536</v>
      </c>
      <c r="R18" s="30">
        <f t="shared" si="1"/>
        <v>22.574399999999997</v>
      </c>
      <c r="S18" s="30">
        <f t="shared" si="2"/>
        <v>-1.1972054393702275E-2</v>
      </c>
      <c r="T18" s="30">
        <f t="shared" si="3"/>
        <v>22.622093591150968</v>
      </c>
      <c r="U18" s="30">
        <f t="shared" si="4"/>
        <v>-9.8846190295960226E-3</v>
      </c>
    </row>
    <row r="19" spans="1:21">
      <c r="A19" s="47">
        <v>32</v>
      </c>
      <c r="B19" s="47">
        <v>60</v>
      </c>
      <c r="C19" s="47">
        <v>120</v>
      </c>
      <c r="D19" s="47">
        <v>7200</v>
      </c>
      <c r="E19" s="47">
        <v>31.7</v>
      </c>
      <c r="F19" s="47">
        <v>1920</v>
      </c>
      <c r="G19" s="47">
        <v>18.600000000000001</v>
      </c>
      <c r="H19" s="47">
        <v>1116</v>
      </c>
      <c r="I19" s="47">
        <v>93.9</v>
      </c>
      <c r="J19" s="47">
        <v>5634</v>
      </c>
      <c r="K19" s="47">
        <v>33.5</v>
      </c>
      <c r="L19" s="47">
        <v>2010</v>
      </c>
      <c r="M19" s="47">
        <v>0.9</v>
      </c>
      <c r="N19" s="47">
        <v>0.6</v>
      </c>
      <c r="O19" s="47">
        <v>2.8</v>
      </c>
      <c r="P19" s="42">
        <f t="shared" si="0"/>
        <v>24.332208866065791</v>
      </c>
      <c r="R19" s="30">
        <f t="shared" si="1"/>
        <v>23.877599999999997</v>
      </c>
      <c r="S19" s="30">
        <f t="shared" si="2"/>
        <v>-1.8683419518883086E-2</v>
      </c>
      <c r="T19" s="30">
        <f t="shared" si="3"/>
        <v>23.858617809595685</v>
      </c>
      <c r="U19" s="30">
        <f t="shared" si="4"/>
        <v>-1.9463545585891539E-2</v>
      </c>
    </row>
    <row r="20" spans="1:21">
      <c r="A20" s="47">
        <v>34</v>
      </c>
      <c r="B20" s="47">
        <v>45</v>
      </c>
      <c r="C20" s="47">
        <v>146</v>
      </c>
      <c r="D20" s="47">
        <v>6570</v>
      </c>
      <c r="E20" s="47">
        <v>38.4</v>
      </c>
      <c r="F20" s="47">
        <v>1728</v>
      </c>
      <c r="G20" s="47">
        <v>20.6</v>
      </c>
      <c r="H20" s="47">
        <v>927</v>
      </c>
      <c r="I20" s="47">
        <v>109.4</v>
      </c>
      <c r="J20" s="47">
        <v>4923</v>
      </c>
      <c r="K20" s="47">
        <v>38.200000000000003</v>
      </c>
      <c r="L20" s="47">
        <v>1719</v>
      </c>
      <c r="M20" s="47">
        <v>1</v>
      </c>
      <c r="N20" s="47">
        <v>0.5</v>
      </c>
      <c r="O20" s="47">
        <v>2.9</v>
      </c>
      <c r="P20" s="42">
        <f t="shared" si="0"/>
        <v>25.606998370340261</v>
      </c>
      <c r="R20" s="30">
        <f t="shared" si="1"/>
        <v>25.180799999999998</v>
      </c>
      <c r="S20" s="30">
        <f t="shared" si="2"/>
        <v>-1.6643823855353318E-2</v>
      </c>
      <c r="T20" s="30">
        <f t="shared" si="3"/>
        <v>25.081651150750293</v>
      </c>
      <c r="U20" s="30">
        <f t="shared" si="4"/>
        <v>-2.051576729111913E-2</v>
      </c>
    </row>
    <row r="21" spans="1:21">
      <c r="A21" s="47">
        <v>36</v>
      </c>
      <c r="B21" s="47">
        <v>27</v>
      </c>
      <c r="C21" s="47">
        <v>176</v>
      </c>
      <c r="D21" s="47">
        <v>4752</v>
      </c>
      <c r="E21" s="47">
        <v>46.5</v>
      </c>
      <c r="F21" s="47">
        <v>1256</v>
      </c>
      <c r="G21" s="47">
        <v>22.6</v>
      </c>
      <c r="H21" s="47">
        <v>610</v>
      </c>
      <c r="I21" s="47">
        <v>124.3</v>
      </c>
      <c r="J21" s="47">
        <v>3356</v>
      </c>
      <c r="K21" s="47">
        <v>42.9</v>
      </c>
      <c r="L21" s="47">
        <v>1158</v>
      </c>
      <c r="M21" s="47">
        <v>1.1000000000000001</v>
      </c>
      <c r="N21" s="47">
        <v>0.5</v>
      </c>
      <c r="O21" s="47">
        <v>2.9</v>
      </c>
      <c r="P21" s="42">
        <f t="shared" si="0"/>
        <v>26.821266613927222</v>
      </c>
      <c r="R21" s="30">
        <f t="shared" si="1"/>
        <v>26.483999999999998</v>
      </c>
      <c r="S21" s="30">
        <f t="shared" si="2"/>
        <v>-1.2574596822064106E-2</v>
      </c>
      <c r="T21" s="30">
        <f t="shared" si="3"/>
        <v>26.292122694681488</v>
      </c>
      <c r="U21" s="30">
        <f t="shared" si="4"/>
        <v>-1.972852091075258E-2</v>
      </c>
    </row>
    <row r="22" spans="1:21">
      <c r="A22" s="47">
        <v>38</v>
      </c>
      <c r="B22" s="47">
        <v>18</v>
      </c>
      <c r="C22" s="47">
        <v>214</v>
      </c>
      <c r="D22" s="47">
        <v>3852</v>
      </c>
      <c r="E22" s="48">
        <v>56.7</v>
      </c>
      <c r="F22" s="49">
        <v>1021</v>
      </c>
      <c r="G22" s="47">
        <v>24.3</v>
      </c>
      <c r="H22" s="47">
        <v>437</v>
      </c>
      <c r="I22" s="47">
        <v>137.9</v>
      </c>
      <c r="J22" s="47">
        <v>2482</v>
      </c>
      <c r="K22" s="47">
        <v>47.6</v>
      </c>
      <c r="L22" s="47">
        <v>857</v>
      </c>
      <c r="M22" s="47">
        <v>1.2</v>
      </c>
      <c r="N22" s="47">
        <v>0.5</v>
      </c>
      <c r="O22" s="47">
        <v>2.9</v>
      </c>
      <c r="P22" s="42">
        <f t="shared" si="0"/>
        <v>27.811742545669649</v>
      </c>
      <c r="R22" s="30">
        <f t="shared" si="1"/>
        <v>27.787199999999999</v>
      </c>
      <c r="S22" s="30">
        <f t="shared" si="2"/>
        <v>-8.8245264133841644E-4</v>
      </c>
      <c r="T22" s="30">
        <f t="shared" si="3"/>
        <v>27.49084960502881</v>
      </c>
      <c r="U22" s="30">
        <f t="shared" si="4"/>
        <v>-1.1538037938971303E-2</v>
      </c>
    </row>
    <row r="23" spans="1:21">
      <c r="A23" s="50">
        <v>40</v>
      </c>
      <c r="B23" s="45">
        <v>3</v>
      </c>
      <c r="C23" s="45">
        <v>264</v>
      </c>
      <c r="D23" s="45">
        <v>792</v>
      </c>
      <c r="E23" s="45">
        <v>69.8</v>
      </c>
      <c r="F23" s="45">
        <v>209</v>
      </c>
      <c r="G23" s="45">
        <v>25.6</v>
      </c>
      <c r="H23" s="45">
        <v>77</v>
      </c>
      <c r="I23" s="45">
        <v>149.5</v>
      </c>
      <c r="J23" s="45">
        <v>449</v>
      </c>
      <c r="K23" s="45">
        <v>52.2</v>
      </c>
      <c r="L23" s="45">
        <v>157</v>
      </c>
      <c r="M23" s="45">
        <v>1.3</v>
      </c>
      <c r="N23" s="45">
        <v>0.5</v>
      </c>
      <c r="O23" s="45">
        <v>2.9</v>
      </c>
      <c r="P23" s="42">
        <f t="shared" si="0"/>
        <v>28.545985858444336</v>
      </c>
      <c r="R23" s="30">
        <f t="shared" si="1"/>
        <v>29.090399999999999</v>
      </c>
      <c r="S23" s="30">
        <f t="shared" si="2"/>
        <v>1.9071478009389433E-2</v>
      </c>
      <c r="T23" s="30">
        <f t="shared" si="3"/>
        <v>28.678555782890573</v>
      </c>
      <c r="U23" s="30">
        <f t="shared" si="4"/>
        <v>4.6440828879980986E-3</v>
      </c>
    </row>
    <row r="24" spans="1:21">
      <c r="A24" s="51" t="s">
        <v>1504</v>
      </c>
      <c r="B24" s="51"/>
      <c r="C24" s="51"/>
      <c r="D24" s="51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</row>
    <row r="25" spans="1:21">
      <c r="A25" s="317" t="s">
        <v>1505</v>
      </c>
      <c r="B25" s="318"/>
      <c r="C25" s="47">
        <v>25</v>
      </c>
      <c r="D25" s="47">
        <v>3189</v>
      </c>
      <c r="E25" s="47">
        <v>5</v>
      </c>
      <c r="F25" s="47">
        <v>683</v>
      </c>
      <c r="G25" s="47">
        <v>7</v>
      </c>
      <c r="H25" s="47">
        <v>886</v>
      </c>
      <c r="I25" s="47">
        <v>23</v>
      </c>
      <c r="J25" s="47">
        <v>2991</v>
      </c>
      <c r="K25" s="47">
        <v>5</v>
      </c>
      <c r="L25" s="47">
        <v>675</v>
      </c>
      <c r="M25" s="47">
        <v>1</v>
      </c>
      <c r="N25" s="47">
        <v>1.3</v>
      </c>
      <c r="O25" s="47">
        <v>4.4000000000000004</v>
      </c>
    </row>
    <row r="26" spans="1:21">
      <c r="A26" s="317" t="s">
        <v>1506</v>
      </c>
      <c r="B26" s="318"/>
      <c r="C26" s="47">
        <v>71</v>
      </c>
      <c r="D26" s="47">
        <v>22710</v>
      </c>
      <c r="E26" s="47">
        <v>19</v>
      </c>
      <c r="F26" s="47">
        <v>5947</v>
      </c>
      <c r="G26" s="47">
        <v>13</v>
      </c>
      <c r="H26" s="47">
        <v>4099</v>
      </c>
      <c r="I26" s="47">
        <v>56</v>
      </c>
      <c r="J26" s="47">
        <v>17832</v>
      </c>
      <c r="K26" s="47">
        <v>21</v>
      </c>
      <c r="L26" s="47">
        <v>6628</v>
      </c>
      <c r="M26" s="47">
        <v>0.9</v>
      </c>
      <c r="N26" s="47">
        <v>0.6</v>
      </c>
      <c r="O26" s="47">
        <v>2.7</v>
      </c>
    </row>
    <row r="27" spans="1:21">
      <c r="A27" s="317" t="s">
        <v>1507</v>
      </c>
      <c r="B27" s="318"/>
      <c r="C27" s="47">
        <v>151</v>
      </c>
      <c r="D27" s="47">
        <v>23166</v>
      </c>
      <c r="E27" s="47">
        <v>40</v>
      </c>
      <c r="F27" s="47">
        <v>6116</v>
      </c>
      <c r="G27" s="47">
        <v>21</v>
      </c>
      <c r="H27" s="47">
        <v>3167</v>
      </c>
      <c r="I27" s="47">
        <v>110</v>
      </c>
      <c r="J27" s="47">
        <v>16844</v>
      </c>
      <c r="K27" s="47">
        <v>39</v>
      </c>
      <c r="L27" s="47">
        <v>5901</v>
      </c>
      <c r="M27" s="47">
        <v>1</v>
      </c>
      <c r="N27" s="47">
        <v>0.5</v>
      </c>
      <c r="O27" s="47">
        <v>2.9</v>
      </c>
    </row>
    <row r="28" spans="1:21">
      <c r="A28" s="53" t="s">
        <v>1508</v>
      </c>
      <c r="B28" s="53"/>
      <c r="C28" s="47">
        <v>82</v>
      </c>
      <c r="D28" s="47">
        <v>49065</v>
      </c>
      <c r="E28" s="47">
        <v>21</v>
      </c>
      <c r="F28" s="47">
        <v>12746</v>
      </c>
      <c r="G28" s="47">
        <v>14</v>
      </c>
      <c r="H28" s="47">
        <v>8152</v>
      </c>
      <c r="I28" s="47">
        <v>63</v>
      </c>
      <c r="J28" s="47">
        <v>37667</v>
      </c>
      <c r="K28" s="47">
        <v>22</v>
      </c>
      <c r="L28" s="47">
        <v>13204</v>
      </c>
      <c r="M28" s="47">
        <v>1</v>
      </c>
      <c r="N28" s="47">
        <v>0.6</v>
      </c>
      <c r="O28" s="47">
        <v>2.9</v>
      </c>
    </row>
    <row r="29" spans="1:21">
      <c r="A29" s="315"/>
      <c r="B29" s="316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21">
      <c r="A30" s="42" t="s">
        <v>1487</v>
      </c>
    </row>
  </sheetData>
  <mergeCells count="20">
    <mergeCell ref="D7:D9"/>
    <mergeCell ref="E7:E9"/>
    <mergeCell ref="K6:L6"/>
    <mergeCell ref="G7:G9"/>
    <mergeCell ref="H7:H9"/>
    <mergeCell ref="I7:I9"/>
    <mergeCell ref="J7:J9"/>
    <mergeCell ref="F7:F9"/>
    <mergeCell ref="A29:B29"/>
    <mergeCell ref="A6:A9"/>
    <mergeCell ref="B6:B9"/>
    <mergeCell ref="C7:C9"/>
    <mergeCell ref="A25:B25"/>
    <mergeCell ref="A27:B27"/>
    <mergeCell ref="A26:B26"/>
    <mergeCell ref="O7:O9"/>
    <mergeCell ref="K7:K9"/>
    <mergeCell ref="L7:L9"/>
    <mergeCell ref="M7:M9"/>
    <mergeCell ref="N7:N9"/>
  </mergeCells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U32"/>
  <sheetViews>
    <sheetView workbookViewId="0">
      <selection activeCell="D11" sqref="D11"/>
    </sheetView>
  </sheetViews>
  <sheetFormatPr baseColWidth="10" defaultRowHeight="12.75"/>
  <cols>
    <col min="1" max="1" width="5.85546875" style="56" customWidth="1"/>
    <col min="2" max="3" width="5.140625" style="56" customWidth="1"/>
    <col min="4" max="4" width="7" style="56" customWidth="1"/>
    <col min="5" max="5" width="5.85546875" style="56" customWidth="1"/>
    <col min="6" max="6" width="7" style="56" customWidth="1"/>
    <col min="7" max="7" width="5.85546875" style="56" customWidth="1"/>
    <col min="8" max="9" width="5.5703125" style="56" customWidth="1"/>
    <col min="10" max="10" width="7" style="56" customWidth="1"/>
    <col min="11" max="11" width="5.42578125" style="56" customWidth="1"/>
    <col min="12" max="12" width="7" style="56" customWidth="1"/>
    <col min="13" max="13" width="5.85546875" style="56" customWidth="1"/>
    <col min="14" max="14" width="6" style="56" customWidth="1"/>
    <col min="15" max="15" width="6.140625" style="56" customWidth="1"/>
    <col min="16" max="16" width="11.42578125" style="56"/>
    <col min="17" max="17" width="6.5703125" style="56" customWidth="1"/>
    <col min="18" max="16384" width="11.42578125" style="56"/>
  </cols>
  <sheetData>
    <row r="1" spans="1:21">
      <c r="A1" s="55" t="s">
        <v>1509</v>
      </c>
      <c r="R1" s="56">
        <v>-4.0726000000000004</v>
      </c>
      <c r="T1" s="56">
        <v>0.37680000000000002</v>
      </c>
    </row>
    <row r="2" spans="1:21">
      <c r="A2" s="56" t="s">
        <v>1487</v>
      </c>
      <c r="R2" s="56">
        <v>0.82120000000000004</v>
      </c>
      <c r="T2" s="56">
        <v>1.1744000000000001</v>
      </c>
    </row>
    <row r="3" spans="1:21">
      <c r="A3" s="55" t="s">
        <v>1510</v>
      </c>
    </row>
    <row r="4" spans="1:21">
      <c r="A4" s="55" t="s">
        <v>1511</v>
      </c>
    </row>
    <row r="5" spans="1:21">
      <c r="A5" s="56" t="s">
        <v>1487</v>
      </c>
    </row>
    <row r="6" spans="1:21" ht="31.5">
      <c r="A6" s="321" t="s">
        <v>1623</v>
      </c>
      <c r="B6" s="321" t="s">
        <v>1624</v>
      </c>
      <c r="C6" s="57" t="s">
        <v>1500</v>
      </c>
      <c r="D6" s="57"/>
      <c r="E6" s="57" t="s">
        <v>1455</v>
      </c>
      <c r="F6" s="57"/>
      <c r="G6" s="58" t="s">
        <v>1501</v>
      </c>
      <c r="H6" s="58"/>
      <c r="I6" s="57" t="s">
        <v>1502</v>
      </c>
      <c r="J6" s="57"/>
      <c r="K6" s="322" t="s">
        <v>1631</v>
      </c>
      <c r="L6" s="323"/>
      <c r="M6" s="58" t="s">
        <v>1503</v>
      </c>
      <c r="N6" s="58"/>
      <c r="O6" s="58"/>
    </row>
    <row r="7" spans="1:21">
      <c r="A7" s="312"/>
      <c r="B7" s="312"/>
      <c r="C7" s="321" t="s">
        <v>1626</v>
      </c>
      <c r="D7" s="324" t="s">
        <v>1625</v>
      </c>
      <c r="E7" s="321" t="s">
        <v>1626</v>
      </c>
      <c r="F7" s="321" t="s">
        <v>1625</v>
      </c>
      <c r="G7" s="321" t="s">
        <v>1627</v>
      </c>
      <c r="H7" s="321" t="s">
        <v>1628</v>
      </c>
      <c r="I7" s="321" t="s">
        <v>1629</v>
      </c>
      <c r="J7" s="321" t="s">
        <v>1630</v>
      </c>
      <c r="K7" s="321" t="s">
        <v>1632</v>
      </c>
      <c r="L7" s="324" t="s">
        <v>1633</v>
      </c>
      <c r="M7" s="321" t="s">
        <v>1634</v>
      </c>
      <c r="N7" s="321" t="s">
        <v>1635</v>
      </c>
      <c r="O7" s="321" t="s">
        <v>1636</v>
      </c>
      <c r="P7" s="56" t="s">
        <v>1618</v>
      </c>
      <c r="Q7" s="167" t="s">
        <v>263</v>
      </c>
    </row>
    <row r="8" spans="1:21">
      <c r="A8" s="312"/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56" t="s">
        <v>1619</v>
      </c>
      <c r="Q8" s="167" t="s">
        <v>1469</v>
      </c>
    </row>
    <row r="9" spans="1:21">
      <c r="A9" s="312"/>
      <c r="B9" s="312"/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Q9" s="167"/>
      <c r="R9" s="30" t="s">
        <v>1589</v>
      </c>
      <c r="S9" s="30" t="s">
        <v>1590</v>
      </c>
      <c r="T9" s="30" t="s">
        <v>1591</v>
      </c>
      <c r="U9" s="30"/>
    </row>
    <row r="10" spans="1:21">
      <c r="A10" s="62">
        <v>20</v>
      </c>
      <c r="B10" s="62">
        <v>12</v>
      </c>
      <c r="C10" s="62">
        <v>24</v>
      </c>
      <c r="D10" s="62">
        <v>288</v>
      </c>
      <c r="E10" s="62">
        <v>7.6</v>
      </c>
      <c r="F10" s="62">
        <v>91</v>
      </c>
      <c r="G10" s="62">
        <v>5.2</v>
      </c>
      <c r="H10" s="62">
        <v>62</v>
      </c>
      <c r="I10" s="62">
        <v>7</v>
      </c>
      <c r="J10" s="62">
        <v>84</v>
      </c>
      <c r="K10" s="62">
        <v>6.7</v>
      </c>
      <c r="L10" s="62">
        <v>80</v>
      </c>
      <c r="M10" s="62">
        <v>1.1000000000000001</v>
      </c>
      <c r="N10" s="62">
        <v>0.8</v>
      </c>
      <c r="O10" s="62">
        <v>1.1000000000000001</v>
      </c>
      <c r="P10" s="42">
        <f t="shared" ref="P10:P22" si="0">(G10/PI())^0.5*10</f>
        <v>12.865501965161375</v>
      </c>
      <c r="Q10" s="168">
        <f>SQRT(G10/PI()*4)</f>
        <v>2.5731003930322749</v>
      </c>
      <c r="R10" s="30">
        <f>R$1+R$2*A10</f>
        <v>12.351399999999998</v>
      </c>
      <c r="S10" s="30">
        <f>(R10-P10)/P10</f>
        <v>-3.9959728470254696E-2</v>
      </c>
      <c r="T10" s="30">
        <f>T$1*A10^T$2</f>
        <v>12.706926592628859</v>
      </c>
      <c r="U10" s="30">
        <f>(T10-P10)/P10</f>
        <v>-1.2325626544687005E-2</v>
      </c>
    </row>
    <row r="11" spans="1:21">
      <c r="A11" s="62">
        <v>22</v>
      </c>
      <c r="B11" s="62">
        <v>24</v>
      </c>
      <c r="C11" s="62">
        <v>35</v>
      </c>
      <c r="D11" s="62">
        <v>840</v>
      </c>
      <c r="E11" s="62">
        <v>9.9</v>
      </c>
      <c r="F11" s="62">
        <v>238</v>
      </c>
      <c r="G11" s="62">
        <v>6.5</v>
      </c>
      <c r="H11" s="62">
        <v>156</v>
      </c>
      <c r="I11" s="62">
        <v>10.5</v>
      </c>
      <c r="J11" s="62">
        <v>252</v>
      </c>
      <c r="K11" s="62">
        <v>7.8</v>
      </c>
      <c r="L11" s="62">
        <v>187</v>
      </c>
      <c r="M11" s="62">
        <v>1.3</v>
      </c>
      <c r="N11" s="62">
        <v>0.8</v>
      </c>
      <c r="O11" s="62">
        <v>1.3</v>
      </c>
      <c r="P11" s="42">
        <f t="shared" si="0"/>
        <v>14.38406847937898</v>
      </c>
      <c r="Q11" s="168">
        <f t="shared" ref="Q11:Q22" si="1">SQRT(G11/PI()*4)</f>
        <v>2.8768136958757959</v>
      </c>
      <c r="R11" s="30">
        <f t="shared" ref="R11:R22" si="2">R$1+R$2*A11</f>
        <v>13.9938</v>
      </c>
      <c r="S11" s="30">
        <f t="shared" ref="S11:S22" si="3">(R11-P11)/P11</f>
        <v>-2.7131995369631987E-2</v>
      </c>
      <c r="T11" s="30">
        <f t="shared" ref="T11:T22" si="4">T$1*A11^T$2</f>
        <v>14.211898282028653</v>
      </c>
      <c r="U11" s="30">
        <f t="shared" ref="U11:U22" si="5">(T11-P11)/P11</f>
        <v>-1.1969506235120542E-2</v>
      </c>
    </row>
    <row r="12" spans="1:21">
      <c r="A12" s="62">
        <v>24</v>
      </c>
      <c r="B12" s="62">
        <v>40</v>
      </c>
      <c r="C12" s="62">
        <v>49</v>
      </c>
      <c r="D12" s="62">
        <v>1960</v>
      </c>
      <c r="E12" s="62">
        <v>12.3</v>
      </c>
      <c r="F12" s="62">
        <v>492</v>
      </c>
      <c r="G12" s="62">
        <v>7.9</v>
      </c>
      <c r="H12" s="62">
        <v>316</v>
      </c>
      <c r="I12" s="62">
        <v>15</v>
      </c>
      <c r="J12" s="62">
        <v>600</v>
      </c>
      <c r="K12" s="62">
        <v>9.1</v>
      </c>
      <c r="L12" s="62">
        <v>364</v>
      </c>
      <c r="M12" s="62">
        <v>1.4</v>
      </c>
      <c r="N12" s="62">
        <v>0.9</v>
      </c>
      <c r="O12" s="62">
        <v>1.6</v>
      </c>
      <c r="P12" s="42">
        <f t="shared" si="0"/>
        <v>15.85764200898717</v>
      </c>
      <c r="Q12" s="168">
        <f t="shared" si="1"/>
        <v>3.1715284017974339</v>
      </c>
      <c r="R12" s="30">
        <f t="shared" si="2"/>
        <v>15.636199999999999</v>
      </c>
      <c r="S12" s="30">
        <f t="shared" si="3"/>
        <v>-1.3964371806455928E-2</v>
      </c>
      <c r="T12" s="30">
        <f t="shared" si="4"/>
        <v>15.740951340048067</v>
      </c>
      <c r="U12" s="30">
        <f t="shared" si="5"/>
        <v>-7.3586393786018158E-3</v>
      </c>
    </row>
    <row r="13" spans="1:21">
      <c r="A13" s="62">
        <v>26</v>
      </c>
      <c r="B13" s="62">
        <v>54</v>
      </c>
      <c r="C13" s="62">
        <v>65</v>
      </c>
      <c r="D13" s="62">
        <v>3510</v>
      </c>
      <c r="E13" s="62">
        <v>14.9</v>
      </c>
      <c r="F13" s="62">
        <v>805</v>
      </c>
      <c r="G13" s="62">
        <v>9.4</v>
      </c>
      <c r="H13" s="62">
        <v>508</v>
      </c>
      <c r="I13" s="62">
        <v>20.5</v>
      </c>
      <c r="J13" s="62">
        <v>1107</v>
      </c>
      <c r="K13" s="62">
        <v>10.6</v>
      </c>
      <c r="L13" s="62">
        <v>572</v>
      </c>
      <c r="M13" s="62">
        <v>1.4</v>
      </c>
      <c r="N13" s="62">
        <v>0.9</v>
      </c>
      <c r="O13" s="62">
        <v>1.9</v>
      </c>
      <c r="P13" s="42">
        <f t="shared" si="0"/>
        <v>17.297725082008998</v>
      </c>
      <c r="Q13" s="168">
        <f t="shared" si="1"/>
        <v>3.4595450164017998</v>
      </c>
      <c r="R13" s="30">
        <f t="shared" si="2"/>
        <v>17.278600000000001</v>
      </c>
      <c r="S13" s="30">
        <f t="shared" si="3"/>
        <v>-1.1056414596905143E-3</v>
      </c>
      <c r="T13" s="30">
        <f t="shared" si="4"/>
        <v>17.292412785148553</v>
      </c>
      <c r="U13" s="30">
        <f t="shared" si="5"/>
        <v>-3.0710956702455347E-4</v>
      </c>
    </row>
    <row r="14" spans="1:21">
      <c r="A14" s="62">
        <v>28</v>
      </c>
      <c r="B14" s="62">
        <v>78</v>
      </c>
      <c r="C14" s="62">
        <v>83</v>
      </c>
      <c r="D14" s="62">
        <v>6474</v>
      </c>
      <c r="E14" s="62">
        <v>17.8</v>
      </c>
      <c r="F14" s="62">
        <v>1388</v>
      </c>
      <c r="G14" s="62">
        <v>11</v>
      </c>
      <c r="H14" s="62">
        <v>858</v>
      </c>
      <c r="I14" s="62">
        <v>27.2</v>
      </c>
      <c r="J14" s="62">
        <v>2122</v>
      </c>
      <c r="K14" s="62">
        <v>12.5</v>
      </c>
      <c r="L14" s="62">
        <v>975</v>
      </c>
      <c r="M14" s="62">
        <v>1.4</v>
      </c>
      <c r="N14" s="62">
        <v>0.9</v>
      </c>
      <c r="O14" s="62">
        <v>2.2000000000000002</v>
      </c>
      <c r="P14" s="42">
        <f t="shared" si="0"/>
        <v>18.712051592547777</v>
      </c>
      <c r="Q14" s="168">
        <f t="shared" si="1"/>
        <v>3.7424103185095552</v>
      </c>
      <c r="R14" s="30">
        <f t="shared" si="2"/>
        <v>18.920999999999999</v>
      </c>
      <c r="S14" s="30">
        <f t="shared" si="3"/>
        <v>1.1166515142328803E-2</v>
      </c>
      <c r="T14" s="30">
        <f t="shared" si="4"/>
        <v>18.864846949886193</v>
      </c>
      <c r="U14" s="30">
        <f t="shared" si="5"/>
        <v>8.1656122303162063E-3</v>
      </c>
    </row>
    <row r="15" spans="1:21">
      <c r="A15" s="62">
        <v>30</v>
      </c>
      <c r="B15" s="62">
        <v>62</v>
      </c>
      <c r="C15" s="62">
        <v>103</v>
      </c>
      <c r="D15" s="62">
        <v>6386</v>
      </c>
      <c r="E15" s="62">
        <v>21</v>
      </c>
      <c r="F15" s="62">
        <v>1302</v>
      </c>
      <c r="G15" s="62">
        <v>12.7</v>
      </c>
      <c r="H15" s="62">
        <v>787</v>
      </c>
      <c r="I15" s="62">
        <v>35.299999999999997</v>
      </c>
      <c r="J15" s="62">
        <v>2189</v>
      </c>
      <c r="K15" s="62">
        <v>14.7</v>
      </c>
      <c r="L15" s="62">
        <v>911</v>
      </c>
      <c r="M15" s="62">
        <v>1.4</v>
      </c>
      <c r="N15" s="62">
        <v>0.9</v>
      </c>
      <c r="O15" s="62">
        <v>2.4</v>
      </c>
      <c r="P15" s="42">
        <f t="shared" si="0"/>
        <v>20.106057680545288</v>
      </c>
      <c r="Q15" s="168">
        <f t="shared" si="1"/>
        <v>4.0212115361090577</v>
      </c>
      <c r="R15" s="30">
        <f t="shared" si="2"/>
        <v>20.563400000000001</v>
      </c>
      <c r="S15" s="30">
        <f t="shared" si="3"/>
        <v>2.2746493953274612E-2</v>
      </c>
      <c r="T15" s="30">
        <f t="shared" si="4"/>
        <v>20.457007089118484</v>
      </c>
      <c r="U15" s="30">
        <f t="shared" si="5"/>
        <v>1.7454909070154356E-2</v>
      </c>
    </row>
    <row r="16" spans="1:21">
      <c r="A16" s="62">
        <v>32</v>
      </c>
      <c r="B16" s="62">
        <v>78</v>
      </c>
      <c r="C16" s="62">
        <v>126</v>
      </c>
      <c r="D16" s="62">
        <v>9828</v>
      </c>
      <c r="E16" s="62">
        <v>24.6</v>
      </c>
      <c r="F16" s="62">
        <v>1919</v>
      </c>
      <c r="G16" s="62">
        <v>14.7</v>
      </c>
      <c r="H16" s="62">
        <v>1147</v>
      </c>
      <c r="I16" s="62">
        <v>45.4</v>
      </c>
      <c r="J16" s="62">
        <v>3541</v>
      </c>
      <c r="K16" s="62">
        <v>17.2</v>
      </c>
      <c r="L16" s="62">
        <v>1342</v>
      </c>
      <c r="M16" s="62">
        <v>1.4</v>
      </c>
      <c r="N16" s="62">
        <v>0.9</v>
      </c>
      <c r="O16" s="62">
        <v>2.6</v>
      </c>
      <c r="P16" s="42">
        <f t="shared" si="0"/>
        <v>21.63135531329862</v>
      </c>
      <c r="Q16" s="168">
        <f t="shared" si="1"/>
        <v>4.3262710626597238</v>
      </c>
      <c r="R16" s="30">
        <f t="shared" si="2"/>
        <v>22.2058</v>
      </c>
      <c r="S16" s="30">
        <f t="shared" si="3"/>
        <v>2.6556111643555699E-2</v>
      </c>
      <c r="T16" s="30">
        <f t="shared" si="4"/>
        <v>22.067799459238628</v>
      </c>
      <c r="U16" s="30">
        <f t="shared" si="5"/>
        <v>2.0176458646199082E-2</v>
      </c>
    </row>
    <row r="17" spans="1:21">
      <c r="A17" s="62">
        <v>34</v>
      </c>
      <c r="B17" s="62">
        <v>50</v>
      </c>
      <c r="C17" s="62">
        <v>152</v>
      </c>
      <c r="D17" s="62">
        <v>7600</v>
      </c>
      <c r="E17" s="62">
        <v>28.6</v>
      </c>
      <c r="F17" s="62">
        <v>1430</v>
      </c>
      <c r="G17" s="62">
        <v>17</v>
      </c>
      <c r="H17" s="62">
        <v>850</v>
      </c>
      <c r="I17" s="62">
        <v>58.1</v>
      </c>
      <c r="J17" s="62">
        <v>2905</v>
      </c>
      <c r="K17" s="62">
        <v>19.8</v>
      </c>
      <c r="L17" s="62">
        <v>990</v>
      </c>
      <c r="M17" s="62">
        <v>1.4</v>
      </c>
      <c r="N17" s="62">
        <v>0.9</v>
      </c>
      <c r="O17" s="62">
        <v>2.9</v>
      </c>
      <c r="P17" s="42">
        <f t="shared" si="0"/>
        <v>23.262132458406391</v>
      </c>
      <c r="Q17" s="168">
        <f t="shared" si="1"/>
        <v>4.6524264916812781</v>
      </c>
      <c r="R17" s="30">
        <f t="shared" si="2"/>
        <v>23.848199999999999</v>
      </c>
      <c r="S17" s="30">
        <f t="shared" si="3"/>
        <v>2.519405917069379E-2</v>
      </c>
      <c r="T17" s="30">
        <f t="shared" si="4"/>
        <v>23.696256067559574</v>
      </c>
      <c r="U17" s="30">
        <f t="shared" si="5"/>
        <v>1.8662244741724031E-2</v>
      </c>
    </row>
    <row r="18" spans="1:21">
      <c r="A18" s="62">
        <v>36</v>
      </c>
      <c r="B18" s="62">
        <v>44</v>
      </c>
      <c r="C18" s="62">
        <v>181</v>
      </c>
      <c r="D18" s="62">
        <v>7964</v>
      </c>
      <c r="E18" s="62">
        <v>33.200000000000003</v>
      </c>
      <c r="F18" s="62">
        <v>1461</v>
      </c>
      <c r="G18" s="62">
        <v>19.8</v>
      </c>
      <c r="H18" s="62">
        <v>871</v>
      </c>
      <c r="I18" s="62">
        <v>73.8</v>
      </c>
      <c r="J18" s="62">
        <v>3247</v>
      </c>
      <c r="K18" s="62">
        <v>22.7</v>
      </c>
      <c r="L18" s="62">
        <v>999</v>
      </c>
      <c r="M18" s="62">
        <v>1.5</v>
      </c>
      <c r="N18" s="62">
        <v>0.9</v>
      </c>
      <c r="O18" s="62">
        <v>3.3</v>
      </c>
      <c r="P18" s="42">
        <f t="shared" si="0"/>
        <v>25.104851615652017</v>
      </c>
      <c r="Q18" s="168">
        <f t="shared" si="1"/>
        <v>5.0209703231304035</v>
      </c>
      <c r="R18" s="30">
        <f t="shared" si="2"/>
        <v>25.490600000000001</v>
      </c>
      <c r="S18" s="30">
        <f t="shared" si="3"/>
        <v>1.5365491509516955E-2</v>
      </c>
      <c r="T18" s="30">
        <f t="shared" si="4"/>
        <v>25.34151360720286</v>
      </c>
      <c r="U18" s="30">
        <f t="shared" si="5"/>
        <v>9.4269424561462985E-3</v>
      </c>
    </row>
    <row r="19" spans="1:21">
      <c r="A19" s="62">
        <v>38</v>
      </c>
      <c r="B19" s="62">
        <v>36</v>
      </c>
      <c r="C19" s="62">
        <v>215</v>
      </c>
      <c r="D19" s="62">
        <v>7740</v>
      </c>
      <c r="E19" s="63">
        <v>38.1</v>
      </c>
      <c r="F19" s="63">
        <v>1372</v>
      </c>
      <c r="G19" s="62">
        <v>22.8</v>
      </c>
      <c r="H19" s="62">
        <v>821</v>
      </c>
      <c r="I19" s="62">
        <v>92</v>
      </c>
      <c r="J19" s="62">
        <v>3312</v>
      </c>
      <c r="K19" s="62">
        <v>25.8</v>
      </c>
      <c r="L19" s="62">
        <v>929</v>
      </c>
      <c r="M19" s="62">
        <v>1.5</v>
      </c>
      <c r="N19" s="62">
        <v>0.9</v>
      </c>
      <c r="O19" s="62">
        <v>3.6</v>
      </c>
      <c r="P19" s="42">
        <f t="shared" si="0"/>
        <v>26.939683377854365</v>
      </c>
      <c r="Q19" s="168">
        <f t="shared" si="1"/>
        <v>5.3879366755708729</v>
      </c>
      <c r="R19" s="30">
        <f t="shared" si="2"/>
        <v>27.132999999999999</v>
      </c>
      <c r="S19" s="30">
        <f t="shared" si="3"/>
        <v>7.1759055009736651E-3</v>
      </c>
      <c r="T19" s="30">
        <f t="shared" si="4"/>
        <v>27.002796904711428</v>
      </c>
      <c r="U19" s="30">
        <f t="shared" si="5"/>
        <v>2.3427716640851302E-3</v>
      </c>
    </row>
    <row r="20" spans="1:21">
      <c r="A20" s="62">
        <v>40</v>
      </c>
      <c r="B20" s="62">
        <v>12</v>
      </c>
      <c r="C20" s="62">
        <v>256</v>
      </c>
      <c r="D20" s="62">
        <v>3072</v>
      </c>
      <c r="E20" s="62">
        <v>43</v>
      </c>
      <c r="F20" s="62">
        <v>516</v>
      </c>
      <c r="G20" s="62">
        <v>26.2</v>
      </c>
      <c r="H20" s="62">
        <v>314</v>
      </c>
      <c r="I20" s="62">
        <v>112.5</v>
      </c>
      <c r="J20" s="62">
        <v>1350</v>
      </c>
      <c r="K20" s="62">
        <v>29.1</v>
      </c>
      <c r="L20" s="62">
        <v>349</v>
      </c>
      <c r="M20" s="62">
        <v>1.5</v>
      </c>
      <c r="N20" s="62">
        <v>0.9</v>
      </c>
      <c r="O20" s="62">
        <v>3.9</v>
      </c>
      <c r="P20" s="42">
        <f t="shared" si="0"/>
        <v>28.878571671769567</v>
      </c>
      <c r="Q20" s="168">
        <f t="shared" si="1"/>
        <v>5.7757143343539132</v>
      </c>
      <c r="R20" s="30">
        <f t="shared" si="2"/>
        <v>28.775399999999998</v>
      </c>
      <c r="S20" s="30">
        <f t="shared" si="3"/>
        <v>-3.572602999282875E-3</v>
      </c>
      <c r="T20" s="30">
        <f t="shared" si="4"/>
        <v>28.679405725010717</v>
      </c>
      <c r="U20" s="30">
        <f t="shared" si="5"/>
        <v>-6.8966688873170878E-3</v>
      </c>
    </row>
    <row r="21" spans="1:21">
      <c r="A21" s="62">
        <v>42</v>
      </c>
      <c r="B21" s="62">
        <v>6</v>
      </c>
      <c r="C21" s="62">
        <v>304</v>
      </c>
      <c r="D21" s="62">
        <v>1824</v>
      </c>
      <c r="E21" s="62">
        <v>48</v>
      </c>
      <c r="F21" s="62">
        <v>288</v>
      </c>
      <c r="G21" s="62">
        <v>29.8</v>
      </c>
      <c r="H21" s="62">
        <v>179</v>
      </c>
      <c r="I21" s="62">
        <v>135.1</v>
      </c>
      <c r="J21" s="62">
        <v>811</v>
      </c>
      <c r="K21" s="62">
        <v>32.5</v>
      </c>
      <c r="L21" s="62">
        <v>195</v>
      </c>
      <c r="M21" s="62">
        <v>1.5</v>
      </c>
      <c r="N21" s="62">
        <v>0.9</v>
      </c>
      <c r="O21" s="62">
        <v>4.2</v>
      </c>
      <c r="P21" s="42">
        <f t="shared" si="0"/>
        <v>30.798757455905527</v>
      </c>
      <c r="Q21" s="168">
        <f t="shared" si="1"/>
        <v>6.1597514911811055</v>
      </c>
      <c r="R21" s="30">
        <f t="shared" si="2"/>
        <v>30.4178</v>
      </c>
      <c r="S21" s="30">
        <f t="shared" si="3"/>
        <v>-1.236924757276142E-2</v>
      </c>
      <c r="T21" s="30">
        <f t="shared" si="4"/>
        <v>30.370704117612817</v>
      </c>
      <c r="U21" s="30">
        <f t="shared" si="5"/>
        <v>-1.3898396352695465E-2</v>
      </c>
    </row>
    <row r="22" spans="1:21">
      <c r="A22" s="60">
        <v>44</v>
      </c>
      <c r="B22" s="60">
        <v>2</v>
      </c>
      <c r="C22" s="60">
        <v>362</v>
      </c>
      <c r="D22" s="60">
        <v>724</v>
      </c>
      <c r="E22" s="60">
        <v>53.1</v>
      </c>
      <c r="F22" s="60">
        <v>106</v>
      </c>
      <c r="G22" s="60">
        <v>33.9</v>
      </c>
      <c r="H22" s="60">
        <v>68</v>
      </c>
      <c r="I22" s="60">
        <v>160.30000000000001</v>
      </c>
      <c r="J22" s="60">
        <v>321</v>
      </c>
      <c r="K22" s="60">
        <v>36</v>
      </c>
      <c r="L22" s="60">
        <v>72</v>
      </c>
      <c r="M22" s="60">
        <v>1.5</v>
      </c>
      <c r="N22" s="60">
        <v>0.9</v>
      </c>
      <c r="O22" s="60">
        <v>4.5</v>
      </c>
      <c r="P22" s="42">
        <f t="shared" si="0"/>
        <v>32.849208729633816</v>
      </c>
      <c r="Q22" s="168">
        <f t="shared" si="1"/>
        <v>6.5698417459267624</v>
      </c>
      <c r="R22" s="30">
        <f t="shared" si="2"/>
        <v>32.060200000000002</v>
      </c>
      <c r="S22" s="30">
        <f t="shared" si="3"/>
        <v>-2.4019109139820343E-2</v>
      </c>
      <c r="T22" s="30">
        <f t="shared" si="4"/>
        <v>32.076111716055706</v>
      </c>
      <c r="U22" s="30">
        <f t="shared" si="5"/>
        <v>-2.35347225542357E-2</v>
      </c>
    </row>
    <row r="23" spans="1:21">
      <c r="A23" s="64" t="s">
        <v>1504</v>
      </c>
      <c r="B23" s="64"/>
      <c r="C23" s="64"/>
      <c r="D23" s="64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</row>
    <row r="24" spans="1:21">
      <c r="A24" s="63">
        <v>20</v>
      </c>
      <c r="B24" s="63"/>
      <c r="C24" s="62">
        <v>24</v>
      </c>
      <c r="D24" s="62">
        <v>288</v>
      </c>
      <c r="E24" s="62">
        <v>8</v>
      </c>
      <c r="F24" s="62">
        <v>91</v>
      </c>
      <c r="G24" s="62">
        <v>5</v>
      </c>
      <c r="H24" s="62">
        <v>62</v>
      </c>
      <c r="I24" s="62">
        <v>7</v>
      </c>
      <c r="J24" s="62">
        <v>84</v>
      </c>
      <c r="K24" s="62">
        <v>7</v>
      </c>
      <c r="L24" s="62">
        <v>80</v>
      </c>
      <c r="M24" s="62">
        <v>1.1000000000000001</v>
      </c>
      <c r="N24" s="62">
        <v>0.8</v>
      </c>
      <c r="O24" s="62">
        <v>1.1000000000000001</v>
      </c>
    </row>
    <row r="25" spans="1:21">
      <c r="A25" s="63" t="s">
        <v>1506</v>
      </c>
      <c r="B25" s="63"/>
      <c r="C25" s="62">
        <v>74</v>
      </c>
      <c r="D25" s="62">
        <v>19170</v>
      </c>
      <c r="E25" s="62">
        <v>16</v>
      </c>
      <c r="F25" s="62">
        <v>4225</v>
      </c>
      <c r="G25" s="62">
        <v>10</v>
      </c>
      <c r="H25" s="62">
        <v>2625</v>
      </c>
      <c r="I25" s="62">
        <v>24</v>
      </c>
      <c r="J25" s="62">
        <v>6270</v>
      </c>
      <c r="K25" s="62">
        <v>11</v>
      </c>
      <c r="L25" s="62">
        <v>3009</v>
      </c>
      <c r="M25" s="62">
        <v>1.4</v>
      </c>
      <c r="N25" s="62">
        <v>0.9</v>
      </c>
      <c r="O25" s="62">
        <v>2.1</v>
      </c>
    </row>
    <row r="26" spans="1:21">
      <c r="A26" s="63" t="s">
        <v>1507</v>
      </c>
      <c r="B26" s="63"/>
      <c r="C26" s="62">
        <v>165</v>
      </c>
      <c r="D26" s="62">
        <v>36204</v>
      </c>
      <c r="E26" s="62">
        <v>30</v>
      </c>
      <c r="F26" s="62">
        <v>6698</v>
      </c>
      <c r="G26" s="62">
        <v>18</v>
      </c>
      <c r="H26" s="62">
        <v>4003</v>
      </c>
      <c r="I26" s="62">
        <v>65</v>
      </c>
      <c r="J26" s="62">
        <v>14355</v>
      </c>
      <c r="K26" s="62">
        <v>21</v>
      </c>
      <c r="L26" s="62">
        <v>4608</v>
      </c>
      <c r="M26" s="62">
        <v>1.5</v>
      </c>
      <c r="N26" s="62">
        <v>0.9</v>
      </c>
      <c r="O26" s="62">
        <v>3.1</v>
      </c>
    </row>
    <row r="27" spans="1:21">
      <c r="A27" s="63" t="s">
        <v>1512</v>
      </c>
      <c r="B27" s="63"/>
      <c r="C27" s="62">
        <v>318</v>
      </c>
      <c r="D27" s="62">
        <v>2548</v>
      </c>
      <c r="E27" s="62">
        <v>49</v>
      </c>
      <c r="F27" s="62">
        <v>394</v>
      </c>
      <c r="G27" s="62">
        <v>31</v>
      </c>
      <c r="H27" s="62">
        <v>247</v>
      </c>
      <c r="I27" s="62">
        <v>141</v>
      </c>
      <c r="J27" s="62">
        <v>1132</v>
      </c>
      <c r="K27" s="62">
        <v>33</v>
      </c>
      <c r="L27" s="62">
        <v>268</v>
      </c>
      <c r="M27" s="62">
        <v>1.5</v>
      </c>
      <c r="N27" s="62">
        <v>0.9</v>
      </c>
      <c r="O27" s="62">
        <v>4.3</v>
      </c>
    </row>
    <row r="28" spans="1:21">
      <c r="A28" s="65"/>
      <c r="B28" s="65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</row>
    <row r="29" spans="1:21">
      <c r="A29" s="63" t="s">
        <v>1508</v>
      </c>
      <c r="B29" s="63"/>
      <c r="C29" s="62">
        <v>117</v>
      </c>
      <c r="D29" s="62">
        <v>58210</v>
      </c>
      <c r="E29" s="62">
        <v>23</v>
      </c>
      <c r="F29" s="62">
        <v>11408</v>
      </c>
      <c r="G29" s="62">
        <v>14</v>
      </c>
      <c r="H29" s="62">
        <v>6937</v>
      </c>
      <c r="I29" s="62">
        <v>44</v>
      </c>
      <c r="J29" s="62">
        <v>21841</v>
      </c>
      <c r="K29" s="62">
        <v>16</v>
      </c>
      <c r="L29" s="62">
        <v>7965</v>
      </c>
      <c r="M29" s="62">
        <v>1.4</v>
      </c>
      <c r="N29" s="62">
        <v>0.9</v>
      </c>
      <c r="O29" s="62">
        <v>2.7</v>
      </c>
    </row>
    <row r="30" spans="1:21">
      <c r="A30" s="63" t="s">
        <v>1637</v>
      </c>
      <c r="B30" s="63"/>
      <c r="C30" s="62">
        <v>107</v>
      </c>
      <c r="D30" s="62">
        <v>64358</v>
      </c>
      <c r="E30" s="62">
        <v>21</v>
      </c>
      <c r="F30" s="62">
        <v>12388</v>
      </c>
      <c r="G30" s="62">
        <v>14</v>
      </c>
      <c r="H30" s="62">
        <v>8712</v>
      </c>
      <c r="I30" s="62">
        <v>44</v>
      </c>
      <c r="J30" s="62">
        <v>26618</v>
      </c>
      <c r="K30" s="62">
        <v>15</v>
      </c>
      <c r="L30" s="62">
        <v>9335</v>
      </c>
      <c r="M30" s="62">
        <v>1.3</v>
      </c>
      <c r="N30" s="62">
        <v>0.9</v>
      </c>
      <c r="O30" s="62">
        <v>2.9</v>
      </c>
    </row>
    <row r="31" spans="1:21">
      <c r="A31" s="66" t="s">
        <v>1513</v>
      </c>
      <c r="B31" s="66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</row>
    <row r="32" spans="1:21">
      <c r="A32" s="56" t="s">
        <v>1487</v>
      </c>
    </row>
  </sheetData>
  <mergeCells count="16">
    <mergeCell ref="M7:M9"/>
    <mergeCell ref="N7:N9"/>
    <mergeCell ref="O7:O9"/>
    <mergeCell ref="A6:A9"/>
    <mergeCell ref="B6:B9"/>
    <mergeCell ref="C7:C9"/>
    <mergeCell ref="D7:D9"/>
    <mergeCell ref="E7:E9"/>
    <mergeCell ref="F7:F9"/>
    <mergeCell ref="G7:G9"/>
    <mergeCell ref="H7:H9"/>
    <mergeCell ref="K6:L6"/>
    <mergeCell ref="I7:I9"/>
    <mergeCell ref="J7:J9"/>
    <mergeCell ref="K7:K9"/>
    <mergeCell ref="L7:L9"/>
  </mergeCells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31"/>
  <sheetViews>
    <sheetView workbookViewId="0">
      <selection activeCell="D11" sqref="D11"/>
    </sheetView>
  </sheetViews>
  <sheetFormatPr baseColWidth="10" defaultRowHeight="12.75"/>
  <cols>
    <col min="1" max="1" width="5.42578125" style="69" customWidth="1"/>
    <col min="2" max="2" width="5.140625" style="69" customWidth="1"/>
    <col min="3" max="3" width="5.42578125" style="69" customWidth="1"/>
    <col min="4" max="4" width="6.85546875" style="69" customWidth="1"/>
    <col min="5" max="5" width="5.85546875" style="69" customWidth="1"/>
    <col min="6" max="6" width="7" style="69" customWidth="1"/>
    <col min="7" max="7" width="5.5703125" style="69" customWidth="1"/>
    <col min="8" max="8" width="5.85546875" style="69" customWidth="1"/>
    <col min="9" max="9" width="5.5703125" style="69" customWidth="1"/>
    <col min="10" max="10" width="7" style="69" customWidth="1"/>
    <col min="11" max="11" width="5.140625" style="69" customWidth="1"/>
    <col min="12" max="12" width="7" style="69" customWidth="1"/>
    <col min="13" max="15" width="5.85546875" style="69" customWidth="1"/>
    <col min="16" max="16384" width="11.42578125" style="69"/>
  </cols>
  <sheetData>
    <row r="1" spans="1:15">
      <c r="A1" s="68" t="s">
        <v>1641</v>
      </c>
    </row>
    <row r="2" spans="1:15">
      <c r="A2" s="69" t="s">
        <v>1487</v>
      </c>
    </row>
    <row r="3" spans="1:15">
      <c r="A3" s="68" t="s">
        <v>1514</v>
      </c>
    </row>
    <row r="4" spans="1:15">
      <c r="A4" s="68" t="s">
        <v>1515</v>
      </c>
    </row>
    <row r="5" spans="1:15">
      <c r="A5" s="69" t="s">
        <v>1487</v>
      </c>
    </row>
    <row r="6" spans="1:15" ht="31.5">
      <c r="A6" s="325" t="s">
        <v>1623</v>
      </c>
      <c r="B6" s="325" t="s">
        <v>1638</v>
      </c>
      <c r="C6" s="70" t="s">
        <v>1500</v>
      </c>
      <c r="D6" s="70"/>
      <c r="E6" s="70" t="s">
        <v>1455</v>
      </c>
      <c r="F6" s="70"/>
      <c r="G6" s="71" t="s">
        <v>1501</v>
      </c>
      <c r="H6" s="71"/>
      <c r="I6" s="70" t="s">
        <v>1502</v>
      </c>
      <c r="J6" s="70"/>
      <c r="K6" s="71" t="s">
        <v>1631</v>
      </c>
      <c r="L6" s="71"/>
      <c r="M6" s="71" t="s">
        <v>1503</v>
      </c>
      <c r="N6" s="71"/>
      <c r="O6" s="71"/>
    </row>
    <row r="7" spans="1:15">
      <c r="A7" s="312"/>
      <c r="B7" s="312"/>
      <c r="C7" s="325" t="s">
        <v>1626</v>
      </c>
      <c r="D7" s="326" t="s">
        <v>1625</v>
      </c>
      <c r="E7" s="325" t="s">
        <v>1626</v>
      </c>
      <c r="F7" s="325" t="s">
        <v>1625</v>
      </c>
      <c r="G7" s="325" t="s">
        <v>1627</v>
      </c>
      <c r="H7" s="325" t="s">
        <v>1628</v>
      </c>
      <c r="I7" s="325" t="s">
        <v>1629</v>
      </c>
      <c r="J7" s="325" t="s">
        <v>1630</v>
      </c>
      <c r="K7" s="325" t="s">
        <v>1632</v>
      </c>
      <c r="L7" s="326" t="s">
        <v>1633</v>
      </c>
      <c r="M7" s="325" t="s">
        <v>1634</v>
      </c>
      <c r="N7" s="325" t="s">
        <v>1635</v>
      </c>
      <c r="O7" s="325" t="s">
        <v>1636</v>
      </c>
    </row>
    <row r="8" spans="1:15">
      <c r="A8" s="312"/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</row>
    <row r="9" spans="1:15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</row>
    <row r="10" spans="1:15">
      <c r="A10" s="73">
        <v>16</v>
      </c>
      <c r="B10" s="73">
        <v>4</v>
      </c>
      <c r="C10" s="73">
        <v>23</v>
      </c>
      <c r="D10" s="73">
        <v>92</v>
      </c>
      <c r="E10" s="73">
        <v>4</v>
      </c>
      <c r="F10" s="73">
        <v>16</v>
      </c>
      <c r="G10" s="73">
        <v>6.5</v>
      </c>
      <c r="H10" s="73">
        <v>26</v>
      </c>
      <c r="I10" s="73">
        <v>9.4</v>
      </c>
      <c r="J10" s="73">
        <v>38</v>
      </c>
      <c r="K10" s="73">
        <v>1</v>
      </c>
      <c r="L10" s="73">
        <v>4</v>
      </c>
      <c r="M10" s="73">
        <v>4</v>
      </c>
      <c r="N10" s="73">
        <v>6.5</v>
      </c>
      <c r="O10" s="73">
        <v>9.4</v>
      </c>
    </row>
    <row r="11" spans="1:15">
      <c r="A11" s="74">
        <v>18</v>
      </c>
      <c r="B11" s="74">
        <v>6</v>
      </c>
      <c r="C11" s="74">
        <v>26</v>
      </c>
      <c r="D11" s="74">
        <v>156</v>
      </c>
      <c r="E11" s="74">
        <v>4.5999999999999996</v>
      </c>
      <c r="F11" s="74">
        <v>28</v>
      </c>
      <c r="G11" s="74">
        <v>7.7</v>
      </c>
      <c r="H11" s="74">
        <v>46</v>
      </c>
      <c r="I11" s="74">
        <v>12.4</v>
      </c>
      <c r="J11" s="74">
        <v>74</v>
      </c>
      <c r="K11" s="74">
        <v>3.4</v>
      </c>
      <c r="L11" s="74">
        <v>20</v>
      </c>
      <c r="M11" s="74">
        <v>1.4</v>
      </c>
      <c r="N11" s="74">
        <v>2.2999999999999998</v>
      </c>
      <c r="O11" s="74">
        <v>3.6</v>
      </c>
    </row>
    <row r="12" spans="1:15">
      <c r="A12" s="74">
        <v>20</v>
      </c>
      <c r="B12" s="74">
        <v>6</v>
      </c>
      <c r="C12" s="74">
        <v>30</v>
      </c>
      <c r="D12" s="74">
        <v>180</v>
      </c>
      <c r="E12" s="74">
        <v>5.3</v>
      </c>
      <c r="F12" s="74">
        <v>32</v>
      </c>
      <c r="G12" s="74">
        <v>9.1</v>
      </c>
      <c r="H12" s="74">
        <v>55</v>
      </c>
      <c r="I12" s="74">
        <v>16.3</v>
      </c>
      <c r="J12" s="74">
        <v>98</v>
      </c>
      <c r="K12" s="74">
        <v>5.7</v>
      </c>
      <c r="L12" s="74">
        <v>34</v>
      </c>
      <c r="M12" s="74">
        <v>0.9</v>
      </c>
      <c r="N12" s="74">
        <v>1.6</v>
      </c>
      <c r="O12" s="74">
        <v>2.9</v>
      </c>
    </row>
    <row r="13" spans="1:15">
      <c r="A13" s="74">
        <v>22</v>
      </c>
      <c r="B13" s="74">
        <v>12</v>
      </c>
      <c r="C13" s="74">
        <v>35</v>
      </c>
      <c r="D13" s="74">
        <v>420</v>
      </c>
      <c r="E13" s="74">
        <v>6</v>
      </c>
      <c r="F13" s="74">
        <v>72</v>
      </c>
      <c r="G13" s="74">
        <v>10.7</v>
      </c>
      <c r="H13" s="74">
        <v>128</v>
      </c>
      <c r="I13" s="74">
        <v>21</v>
      </c>
      <c r="J13" s="74">
        <v>252</v>
      </c>
      <c r="K13" s="74">
        <v>7.9</v>
      </c>
      <c r="L13" s="74">
        <v>95</v>
      </c>
      <c r="M13" s="74">
        <v>0.8</v>
      </c>
      <c r="N13" s="72">
        <v>1.4</v>
      </c>
      <c r="O13" s="74">
        <v>2.7</v>
      </c>
    </row>
    <row r="14" spans="1:15">
      <c r="A14" s="74">
        <v>24</v>
      </c>
      <c r="B14" s="74">
        <v>12</v>
      </c>
      <c r="C14" s="74">
        <v>41</v>
      </c>
      <c r="D14" s="74">
        <v>492</v>
      </c>
      <c r="E14" s="74">
        <v>7</v>
      </c>
      <c r="F14" s="74">
        <v>84</v>
      </c>
      <c r="G14" s="74">
        <v>12.5</v>
      </c>
      <c r="H14" s="74">
        <v>150</v>
      </c>
      <c r="I14" s="74">
        <v>26.8</v>
      </c>
      <c r="J14" s="74">
        <v>322</v>
      </c>
      <c r="K14" s="74">
        <v>10</v>
      </c>
      <c r="L14" s="74">
        <v>120</v>
      </c>
      <c r="M14" s="74">
        <v>0.7</v>
      </c>
      <c r="N14" s="74">
        <v>1.3</v>
      </c>
      <c r="O14" s="74">
        <v>2.7</v>
      </c>
    </row>
    <row r="15" spans="1:15">
      <c r="A15" s="74">
        <v>26</v>
      </c>
      <c r="B15" s="74">
        <v>8</v>
      </c>
      <c r="C15" s="74">
        <v>48</v>
      </c>
      <c r="D15" s="74">
        <v>384</v>
      </c>
      <c r="E15" s="74">
        <v>8</v>
      </c>
      <c r="F15" s="74">
        <v>64</v>
      </c>
      <c r="G15" s="74">
        <v>14.5</v>
      </c>
      <c r="H15" s="74">
        <v>116</v>
      </c>
      <c r="I15" s="74">
        <v>33.700000000000003</v>
      </c>
      <c r="J15" s="74">
        <v>270</v>
      </c>
      <c r="K15" s="74">
        <v>12</v>
      </c>
      <c r="L15" s="74">
        <v>96</v>
      </c>
      <c r="M15" s="74">
        <v>0.7</v>
      </c>
      <c r="N15" s="74">
        <v>1.2</v>
      </c>
      <c r="O15" s="74">
        <v>2.8</v>
      </c>
    </row>
    <row r="16" spans="1:15">
      <c r="A16" s="74">
        <v>28</v>
      </c>
      <c r="B16" s="74">
        <v>14</v>
      </c>
      <c r="C16" s="74">
        <v>56</v>
      </c>
      <c r="D16" s="74">
        <v>784</v>
      </c>
      <c r="E16" s="74">
        <v>9</v>
      </c>
      <c r="F16" s="74">
        <v>126</v>
      </c>
      <c r="G16" s="74">
        <v>16.7</v>
      </c>
      <c r="H16" s="74">
        <v>234</v>
      </c>
      <c r="I16" s="74">
        <v>41.9</v>
      </c>
      <c r="J16" s="74">
        <v>587</v>
      </c>
      <c r="K16" s="74">
        <v>13.9</v>
      </c>
      <c r="L16" s="74">
        <v>195</v>
      </c>
      <c r="M16" s="75">
        <v>0.6</v>
      </c>
      <c r="N16" s="76">
        <v>1.2</v>
      </c>
      <c r="O16" s="74">
        <v>3</v>
      </c>
    </row>
    <row r="17" spans="1:15">
      <c r="A17" s="74">
        <v>30</v>
      </c>
      <c r="B17" s="74">
        <v>16</v>
      </c>
      <c r="C17" s="74">
        <v>65</v>
      </c>
      <c r="D17" s="74">
        <v>1040</v>
      </c>
      <c r="E17" s="74">
        <v>10</v>
      </c>
      <c r="F17" s="74">
        <v>160</v>
      </c>
      <c r="G17" s="74">
        <v>19.100000000000001</v>
      </c>
      <c r="H17" s="74">
        <v>306</v>
      </c>
      <c r="I17" s="74">
        <v>51.5</v>
      </c>
      <c r="J17" s="74">
        <v>824</v>
      </c>
      <c r="K17" s="74">
        <v>15.7</v>
      </c>
      <c r="L17" s="74">
        <v>251</v>
      </c>
      <c r="M17" s="74">
        <v>0.6</v>
      </c>
      <c r="N17" s="74">
        <v>1.2</v>
      </c>
      <c r="O17" s="74">
        <v>3.3</v>
      </c>
    </row>
    <row r="18" spans="1:15">
      <c r="A18" s="74">
        <v>32</v>
      </c>
      <c r="B18" s="74">
        <v>14</v>
      </c>
      <c r="C18" s="74">
        <v>75</v>
      </c>
      <c r="D18" s="74">
        <v>1050</v>
      </c>
      <c r="E18" s="74">
        <v>12</v>
      </c>
      <c r="F18" s="74">
        <v>168</v>
      </c>
      <c r="G18" s="74">
        <v>21.7</v>
      </c>
      <c r="H18" s="74">
        <v>304</v>
      </c>
      <c r="I18" s="74">
        <v>62.6</v>
      </c>
      <c r="J18" s="74">
        <v>876</v>
      </c>
      <c r="K18" s="74">
        <v>17.399999999999999</v>
      </c>
      <c r="L18" s="74">
        <v>244</v>
      </c>
      <c r="M18" s="74">
        <v>0.7</v>
      </c>
      <c r="N18" s="74">
        <v>1.2</v>
      </c>
      <c r="O18" s="74">
        <v>3.6</v>
      </c>
    </row>
    <row r="19" spans="1:15">
      <c r="A19" s="74">
        <v>34</v>
      </c>
      <c r="B19" s="74">
        <v>4</v>
      </c>
      <c r="C19" s="74">
        <v>86</v>
      </c>
      <c r="D19" s="74">
        <v>344</v>
      </c>
      <c r="E19" s="74">
        <v>13</v>
      </c>
      <c r="F19" s="74">
        <v>52</v>
      </c>
      <c r="G19" s="74">
        <v>24.4</v>
      </c>
      <c r="H19" s="74">
        <v>98</v>
      </c>
      <c r="I19" s="74">
        <v>75</v>
      </c>
      <c r="J19" s="74">
        <v>300</v>
      </c>
      <c r="K19" s="74">
        <v>19.100000000000001</v>
      </c>
      <c r="L19" s="74">
        <v>76</v>
      </c>
      <c r="M19" s="75">
        <v>0.7</v>
      </c>
      <c r="N19" s="76">
        <v>1.3</v>
      </c>
      <c r="O19" s="74">
        <v>3.9</v>
      </c>
    </row>
    <row r="20" spans="1:15">
      <c r="A20" s="74">
        <v>36</v>
      </c>
      <c r="B20" s="74">
        <v>4</v>
      </c>
      <c r="C20" s="74">
        <v>98</v>
      </c>
      <c r="D20" s="74">
        <v>392</v>
      </c>
      <c r="E20" s="74">
        <v>15</v>
      </c>
      <c r="F20" s="74">
        <v>60</v>
      </c>
      <c r="G20" s="74">
        <v>27</v>
      </c>
      <c r="H20" s="74">
        <v>108</v>
      </c>
      <c r="I20" s="74">
        <v>88.2</v>
      </c>
      <c r="J20" s="74">
        <v>353</v>
      </c>
      <c r="K20" s="74">
        <v>20.8</v>
      </c>
      <c r="L20" s="74">
        <v>83</v>
      </c>
      <c r="M20" s="74">
        <v>0.7</v>
      </c>
      <c r="N20" s="74">
        <v>1.3</v>
      </c>
      <c r="O20" s="74">
        <v>4.2</v>
      </c>
    </row>
    <row r="21" spans="1:15">
      <c r="A21" s="74">
        <v>38</v>
      </c>
      <c r="B21" s="74">
        <v>2</v>
      </c>
      <c r="C21" s="74">
        <v>111</v>
      </c>
      <c r="D21" s="74">
        <v>222</v>
      </c>
      <c r="E21" s="74">
        <v>17</v>
      </c>
      <c r="F21" s="74">
        <v>34</v>
      </c>
      <c r="G21" s="74">
        <v>29.7</v>
      </c>
      <c r="H21" s="74">
        <v>59</v>
      </c>
      <c r="I21" s="74">
        <v>102.9</v>
      </c>
      <c r="J21" s="74">
        <v>206</v>
      </c>
      <c r="K21" s="74">
        <v>22.5</v>
      </c>
      <c r="L21" s="74">
        <v>45</v>
      </c>
      <c r="M21" s="74">
        <v>0.7</v>
      </c>
      <c r="N21" s="74">
        <v>1.3</v>
      </c>
      <c r="O21" s="74">
        <v>4.5999999999999996</v>
      </c>
    </row>
    <row r="22" spans="1:15">
      <c r="A22" s="74">
        <v>40</v>
      </c>
      <c r="B22" s="74"/>
      <c r="C22" s="74">
        <v>125</v>
      </c>
      <c r="D22" s="74"/>
      <c r="E22" s="74">
        <v>18</v>
      </c>
      <c r="F22" s="74"/>
      <c r="G22" s="74">
        <v>32.299999999999997</v>
      </c>
      <c r="H22" s="74"/>
      <c r="I22" s="74">
        <v>118.3</v>
      </c>
      <c r="J22" s="74"/>
      <c r="K22" s="74">
        <v>24.2</v>
      </c>
      <c r="L22" s="74"/>
      <c r="M22" s="74">
        <v>0.7</v>
      </c>
      <c r="N22" s="74">
        <v>1.3</v>
      </c>
      <c r="O22" s="74">
        <v>4.9000000000000004</v>
      </c>
    </row>
    <row r="23" spans="1:15">
      <c r="A23" s="74">
        <v>42</v>
      </c>
      <c r="B23" s="74">
        <v>2</v>
      </c>
      <c r="C23" s="74">
        <v>140</v>
      </c>
      <c r="D23" s="74">
        <v>280</v>
      </c>
      <c r="E23" s="74">
        <v>20</v>
      </c>
      <c r="F23" s="74">
        <v>40</v>
      </c>
      <c r="G23" s="74">
        <v>35</v>
      </c>
      <c r="H23" s="74">
        <v>70</v>
      </c>
      <c r="I23" s="74">
        <v>135.19999999999999</v>
      </c>
      <c r="J23" s="74">
        <v>270</v>
      </c>
      <c r="K23" s="74">
        <v>25.9</v>
      </c>
      <c r="L23" s="74">
        <v>52</v>
      </c>
      <c r="M23" s="74">
        <v>0.8</v>
      </c>
      <c r="N23" s="74">
        <v>1.4</v>
      </c>
      <c r="O23" s="74">
        <v>5.2</v>
      </c>
    </row>
    <row r="24" spans="1:15">
      <c r="A24" s="77">
        <v>44</v>
      </c>
      <c r="B24" s="77">
        <v>2</v>
      </c>
      <c r="C24" s="77">
        <v>156</v>
      </c>
      <c r="D24" s="77">
        <v>312</v>
      </c>
      <c r="E24" s="77">
        <v>22</v>
      </c>
      <c r="F24" s="77">
        <v>44</v>
      </c>
      <c r="G24" s="77">
        <v>37.700000000000003</v>
      </c>
      <c r="H24" s="77">
        <v>75</v>
      </c>
      <c r="I24" s="77">
        <v>153.30000000000001</v>
      </c>
      <c r="J24" s="77">
        <v>307</v>
      </c>
      <c r="K24" s="77">
        <v>27.6</v>
      </c>
      <c r="L24" s="77">
        <v>55</v>
      </c>
      <c r="M24" s="77">
        <v>0.8</v>
      </c>
      <c r="N24" s="78">
        <v>1.4</v>
      </c>
      <c r="O24" s="77">
        <v>5.6</v>
      </c>
    </row>
    <row r="25" spans="1:15">
      <c r="A25" s="79" t="s">
        <v>1504</v>
      </c>
      <c r="B25" s="79"/>
      <c r="C25" s="79"/>
      <c r="D25" s="79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</row>
    <row r="26" spans="1:15">
      <c r="A26" s="81" t="s">
        <v>1640</v>
      </c>
      <c r="B26" s="81"/>
      <c r="C26" s="74">
        <v>27</v>
      </c>
      <c r="D26" s="74">
        <v>428</v>
      </c>
      <c r="E26" s="74">
        <v>5</v>
      </c>
      <c r="F26" s="74">
        <v>76</v>
      </c>
      <c r="G26" s="74">
        <v>8</v>
      </c>
      <c r="H26" s="74">
        <v>127</v>
      </c>
      <c r="I26" s="74">
        <v>13</v>
      </c>
      <c r="J26" s="74">
        <v>210</v>
      </c>
      <c r="K26" s="74">
        <v>4</v>
      </c>
      <c r="L26" s="74">
        <v>58</v>
      </c>
      <c r="M26" s="74">
        <v>1.3</v>
      </c>
      <c r="N26" s="74">
        <v>2.2000000000000002</v>
      </c>
      <c r="O26" s="74">
        <v>3.6</v>
      </c>
    </row>
    <row r="27" spans="1:15">
      <c r="A27" s="81" t="s">
        <v>1506</v>
      </c>
      <c r="B27" s="81"/>
      <c r="C27" s="74">
        <v>50</v>
      </c>
      <c r="D27" s="74">
        <v>3120</v>
      </c>
      <c r="E27" s="74">
        <v>8</v>
      </c>
      <c r="F27" s="74">
        <v>506</v>
      </c>
      <c r="G27" s="74">
        <v>15</v>
      </c>
      <c r="H27" s="74">
        <v>934</v>
      </c>
      <c r="I27" s="74">
        <v>36</v>
      </c>
      <c r="J27" s="74">
        <v>2255</v>
      </c>
      <c r="K27" s="74">
        <v>12</v>
      </c>
      <c r="L27" s="74">
        <v>757</v>
      </c>
      <c r="M27" s="74">
        <v>0.7</v>
      </c>
      <c r="N27" s="74">
        <v>1.2</v>
      </c>
      <c r="O27" s="74">
        <v>3</v>
      </c>
    </row>
    <row r="28" spans="1:15">
      <c r="A28" s="81" t="s">
        <v>1507</v>
      </c>
      <c r="B28" s="81"/>
      <c r="C28" s="74">
        <v>84</v>
      </c>
      <c r="D28" s="74">
        <v>2008</v>
      </c>
      <c r="E28" s="74">
        <v>13</v>
      </c>
      <c r="F28" s="74">
        <v>314</v>
      </c>
      <c r="G28" s="74">
        <v>24</v>
      </c>
      <c r="H28" s="74">
        <v>569</v>
      </c>
      <c r="I28" s="74">
        <v>72</v>
      </c>
      <c r="J28" s="74">
        <v>1735</v>
      </c>
      <c r="K28" s="74">
        <v>19</v>
      </c>
      <c r="L28" s="74">
        <v>448</v>
      </c>
      <c r="M28" s="74">
        <v>0.7</v>
      </c>
      <c r="N28" s="74">
        <v>1.3</v>
      </c>
      <c r="O28" s="74">
        <v>3.9</v>
      </c>
    </row>
    <row r="29" spans="1:15">
      <c r="A29" s="81" t="s">
        <v>1512</v>
      </c>
      <c r="B29" s="81"/>
      <c r="C29" s="74">
        <v>148</v>
      </c>
      <c r="D29" s="74">
        <v>592</v>
      </c>
      <c r="E29" s="74">
        <v>21</v>
      </c>
      <c r="F29" s="74">
        <v>84</v>
      </c>
      <c r="G29" s="74">
        <v>36</v>
      </c>
      <c r="H29" s="74">
        <v>145</v>
      </c>
      <c r="I29" s="74">
        <v>144</v>
      </c>
      <c r="J29" s="74">
        <v>577</v>
      </c>
      <c r="K29" s="74">
        <v>27</v>
      </c>
      <c r="L29" s="74">
        <v>107</v>
      </c>
      <c r="M29" s="74">
        <v>0.8</v>
      </c>
      <c r="N29" s="74">
        <v>1.4</v>
      </c>
      <c r="O29" s="74">
        <v>5.4</v>
      </c>
    </row>
    <row r="30" spans="1:15">
      <c r="A30" s="82" t="s">
        <v>1508</v>
      </c>
      <c r="B30" s="82"/>
      <c r="C30" s="77">
        <v>58</v>
      </c>
      <c r="D30" s="77">
        <v>6148</v>
      </c>
      <c r="E30" s="77">
        <v>9</v>
      </c>
      <c r="F30" s="77">
        <v>980</v>
      </c>
      <c r="G30" s="77">
        <v>17</v>
      </c>
      <c r="H30" s="77">
        <v>1775</v>
      </c>
      <c r="I30" s="77">
        <v>45</v>
      </c>
      <c r="J30" s="77">
        <v>4777</v>
      </c>
      <c r="K30" s="77">
        <v>13</v>
      </c>
      <c r="L30" s="77">
        <v>1370</v>
      </c>
      <c r="M30" s="77">
        <v>0.7</v>
      </c>
      <c r="N30" s="77">
        <v>1.3</v>
      </c>
      <c r="O30" s="77">
        <v>3.5</v>
      </c>
    </row>
    <row r="31" spans="1:15">
      <c r="A31" s="69" t="s">
        <v>1487</v>
      </c>
    </row>
  </sheetData>
  <mergeCells count="15">
    <mergeCell ref="A6:A9"/>
    <mergeCell ref="G7:G9"/>
    <mergeCell ref="F7:F9"/>
    <mergeCell ref="E7:E9"/>
    <mergeCell ref="D7:D9"/>
    <mergeCell ref="J7:J9"/>
    <mergeCell ref="I7:I9"/>
    <mergeCell ref="H7:H9"/>
    <mergeCell ref="C7:C9"/>
    <mergeCell ref="B6:B9"/>
    <mergeCell ref="O7:O9"/>
    <mergeCell ref="N7:N9"/>
    <mergeCell ref="M7:M9"/>
    <mergeCell ref="L7:L9"/>
    <mergeCell ref="K7:K9"/>
  </mergeCells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129"/>
  <sheetViews>
    <sheetView workbookViewId="0">
      <selection activeCell="D11" sqref="D11"/>
    </sheetView>
  </sheetViews>
  <sheetFormatPr baseColWidth="10" defaultRowHeight="12.75"/>
  <sheetData>
    <row r="1" spans="1:12">
      <c r="A1" s="3" t="s">
        <v>1678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2" t="s">
        <v>1487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>
      <c r="A3" s="107" t="s">
        <v>1679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111" t="s">
        <v>1680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>
      <c r="A5" s="327" t="s">
        <v>1681</v>
      </c>
      <c r="B5" s="341" t="s">
        <v>1682</v>
      </c>
      <c r="C5" s="342"/>
      <c r="D5" s="327" t="s">
        <v>1596</v>
      </c>
      <c r="E5" s="327" t="s">
        <v>1623</v>
      </c>
      <c r="F5" s="327" t="s">
        <v>1683</v>
      </c>
      <c r="G5" s="112" t="s">
        <v>1684</v>
      </c>
      <c r="H5" s="112"/>
      <c r="I5" s="112"/>
      <c r="J5" s="112" t="s">
        <v>1685</v>
      </c>
      <c r="K5" s="112"/>
      <c r="L5" s="112"/>
    </row>
    <row r="6" spans="1:12">
      <c r="A6" s="307"/>
      <c r="B6" s="343"/>
      <c r="C6" s="344"/>
      <c r="D6" s="307"/>
      <c r="E6" s="307"/>
      <c r="F6" s="307"/>
      <c r="G6" s="113" t="s">
        <v>1686</v>
      </c>
      <c r="H6" s="113" t="s">
        <v>1687</v>
      </c>
      <c r="I6" s="113" t="s">
        <v>1688</v>
      </c>
      <c r="J6" s="113" t="s">
        <v>1686</v>
      </c>
      <c r="K6" s="113" t="s">
        <v>1687</v>
      </c>
      <c r="L6" s="113" t="s">
        <v>1688</v>
      </c>
    </row>
    <row r="7" spans="1:12">
      <c r="A7" s="114"/>
      <c r="B7" s="115" t="s">
        <v>1689</v>
      </c>
      <c r="C7" s="115"/>
      <c r="D7" s="116"/>
      <c r="E7" s="116"/>
      <c r="F7" s="116"/>
      <c r="G7" s="116"/>
      <c r="H7" s="116"/>
      <c r="I7" s="116"/>
      <c r="J7" s="116"/>
      <c r="K7" s="116"/>
      <c r="L7" s="116"/>
    </row>
    <row r="8" spans="1:12">
      <c r="A8" s="117" t="s">
        <v>1690</v>
      </c>
      <c r="B8" s="328" t="s">
        <v>1691</v>
      </c>
      <c r="C8" s="330"/>
      <c r="D8" s="118">
        <v>19</v>
      </c>
      <c r="E8" s="118">
        <v>9</v>
      </c>
      <c r="F8" s="118">
        <v>23</v>
      </c>
      <c r="G8" s="118">
        <v>0.96</v>
      </c>
      <c r="H8" s="118">
        <v>0.96</v>
      </c>
      <c r="I8" s="118"/>
      <c r="J8" s="118">
        <v>0.41</v>
      </c>
      <c r="K8" s="118">
        <v>0.41</v>
      </c>
      <c r="L8" s="118"/>
    </row>
    <row r="9" spans="1:12">
      <c r="A9" s="119"/>
      <c r="B9" s="118" t="s">
        <v>1692</v>
      </c>
      <c r="C9" s="118"/>
      <c r="D9" s="120"/>
      <c r="E9" s="120"/>
      <c r="F9" s="120"/>
      <c r="G9" s="120"/>
      <c r="H9" s="120"/>
      <c r="I9" s="120"/>
      <c r="J9" s="120"/>
      <c r="K9" s="120"/>
      <c r="L9" s="120"/>
    </row>
    <row r="10" spans="1:12">
      <c r="A10" s="117" t="s">
        <v>1693</v>
      </c>
      <c r="B10" s="328" t="s">
        <v>1694</v>
      </c>
      <c r="C10" s="330"/>
      <c r="D10" s="118">
        <v>20</v>
      </c>
      <c r="E10" s="118">
        <v>7</v>
      </c>
      <c r="F10" s="118">
        <v>19</v>
      </c>
      <c r="G10" s="118">
        <v>0.91</v>
      </c>
      <c r="H10" s="118">
        <v>0.91</v>
      </c>
      <c r="I10" s="118"/>
      <c r="J10" s="118">
        <v>0.39</v>
      </c>
      <c r="K10" s="118">
        <v>0.39</v>
      </c>
      <c r="L10" s="118"/>
    </row>
    <row r="11" spans="1:12">
      <c r="A11" s="117" t="s">
        <v>1695</v>
      </c>
      <c r="B11" s="328" t="s">
        <v>1342</v>
      </c>
      <c r="C11" s="330"/>
      <c r="D11" s="118">
        <v>20</v>
      </c>
      <c r="E11" s="118">
        <v>10</v>
      </c>
      <c r="F11" s="118">
        <v>36</v>
      </c>
      <c r="G11" s="118">
        <v>0.98</v>
      </c>
      <c r="H11" s="118">
        <v>0.98</v>
      </c>
      <c r="I11" s="118"/>
      <c r="J11" s="118">
        <v>0.4</v>
      </c>
      <c r="K11" s="118">
        <v>0.4</v>
      </c>
      <c r="L11" s="118"/>
    </row>
    <row r="12" spans="1:12">
      <c r="A12" s="119"/>
      <c r="B12" s="121" t="s">
        <v>1696</v>
      </c>
      <c r="C12" s="121"/>
      <c r="D12" s="120"/>
      <c r="E12" s="120"/>
      <c r="F12" s="120"/>
      <c r="G12" s="120"/>
      <c r="H12" s="120"/>
      <c r="I12" s="120"/>
      <c r="J12" s="120"/>
      <c r="K12" s="120"/>
      <c r="L12" s="120"/>
    </row>
    <row r="13" spans="1:12">
      <c r="A13" s="119"/>
      <c r="B13" s="331" t="s">
        <v>1697</v>
      </c>
      <c r="C13" s="332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12">
      <c r="A14" s="122" t="s">
        <v>1698</v>
      </c>
      <c r="B14" s="328" t="s">
        <v>1360</v>
      </c>
      <c r="C14" s="329"/>
      <c r="D14" s="118">
        <v>20</v>
      </c>
      <c r="E14" s="118">
        <v>9</v>
      </c>
      <c r="F14" s="118">
        <v>34</v>
      </c>
      <c r="G14" s="118">
        <v>0.99</v>
      </c>
      <c r="H14" s="118">
        <v>0.99</v>
      </c>
      <c r="I14" s="118"/>
      <c r="J14" s="118">
        <v>0.42</v>
      </c>
      <c r="K14" s="118">
        <v>0.42</v>
      </c>
      <c r="L14" s="118"/>
    </row>
    <row r="15" spans="1:12">
      <c r="A15" s="122" t="s">
        <v>1699</v>
      </c>
      <c r="B15" s="328" t="s">
        <v>1342</v>
      </c>
      <c r="C15" s="329"/>
      <c r="D15" s="118">
        <v>20</v>
      </c>
      <c r="E15" s="118">
        <v>10</v>
      </c>
      <c r="F15" s="118">
        <v>41</v>
      </c>
      <c r="G15" s="118">
        <v>0.99</v>
      </c>
      <c r="H15" s="118">
        <v>0.99</v>
      </c>
      <c r="I15" s="118"/>
      <c r="J15" s="118">
        <v>0.37</v>
      </c>
      <c r="K15" s="118">
        <v>0.37</v>
      </c>
      <c r="L15" s="118"/>
    </row>
    <row r="16" spans="1:12">
      <c r="A16" s="122" t="s">
        <v>1700</v>
      </c>
      <c r="B16" s="328" t="s">
        <v>1363</v>
      </c>
      <c r="C16" s="329"/>
      <c r="D16" s="118">
        <v>20</v>
      </c>
      <c r="E16" s="118">
        <v>10</v>
      </c>
      <c r="F16" s="118">
        <v>37</v>
      </c>
      <c r="G16" s="118">
        <v>1.02</v>
      </c>
      <c r="H16" s="118">
        <v>1.02</v>
      </c>
      <c r="I16" s="118"/>
      <c r="J16" s="118">
        <v>0.4</v>
      </c>
      <c r="K16" s="118">
        <v>0.4</v>
      </c>
      <c r="L16" s="118"/>
    </row>
    <row r="17" spans="1:12">
      <c r="A17" s="122" t="s">
        <v>1701</v>
      </c>
      <c r="B17" s="328" t="s">
        <v>1702</v>
      </c>
      <c r="C17" s="329"/>
      <c r="D17" s="118">
        <v>20</v>
      </c>
      <c r="E17" s="118">
        <v>9</v>
      </c>
      <c r="F17" s="118">
        <v>38</v>
      </c>
      <c r="G17" s="118">
        <v>1.03</v>
      </c>
      <c r="H17" s="118">
        <v>1.03</v>
      </c>
      <c r="I17" s="118"/>
      <c r="J17" s="118">
        <v>0.39</v>
      </c>
      <c r="K17" s="118">
        <v>0.39</v>
      </c>
      <c r="L17" s="118"/>
    </row>
    <row r="18" spans="1:12">
      <c r="A18" s="122" t="s">
        <v>1703</v>
      </c>
      <c r="B18" s="328" t="s">
        <v>1367</v>
      </c>
      <c r="C18" s="329"/>
      <c r="D18" s="118">
        <v>20</v>
      </c>
      <c r="E18" s="118">
        <v>9</v>
      </c>
      <c r="F18" s="118">
        <v>42</v>
      </c>
      <c r="G18" s="118">
        <v>1</v>
      </c>
      <c r="H18" s="118">
        <v>1</v>
      </c>
      <c r="I18" s="118"/>
      <c r="J18" s="118">
        <v>0.42</v>
      </c>
      <c r="K18" s="118">
        <v>0.42</v>
      </c>
      <c r="L18" s="118"/>
    </row>
    <row r="19" spans="1:12">
      <c r="A19" s="122" t="s">
        <v>1704</v>
      </c>
      <c r="B19" s="328" t="s">
        <v>1369</v>
      </c>
      <c r="C19" s="329"/>
      <c r="D19" s="118">
        <v>20</v>
      </c>
      <c r="E19" s="118">
        <v>9</v>
      </c>
      <c r="F19" s="118">
        <v>46</v>
      </c>
      <c r="G19" s="118">
        <v>1</v>
      </c>
      <c r="H19" s="118">
        <v>1</v>
      </c>
      <c r="I19" s="118"/>
      <c r="J19" s="118">
        <v>0.38</v>
      </c>
      <c r="K19" s="118">
        <v>0.36</v>
      </c>
      <c r="L19" s="118"/>
    </row>
    <row r="20" spans="1:12">
      <c r="A20" s="122" t="s">
        <v>1705</v>
      </c>
      <c r="B20" s="328" t="s">
        <v>1374</v>
      </c>
      <c r="C20" s="329"/>
      <c r="D20" s="118">
        <v>20</v>
      </c>
      <c r="E20" s="118">
        <v>7</v>
      </c>
      <c r="F20" s="118">
        <v>36</v>
      </c>
      <c r="G20" s="118">
        <v>1.01</v>
      </c>
      <c r="H20" s="118">
        <v>1.01</v>
      </c>
      <c r="I20" s="118"/>
      <c r="J20" s="118">
        <v>0.42</v>
      </c>
      <c r="K20" s="118">
        <v>0.42</v>
      </c>
      <c r="L20" s="118"/>
    </row>
    <row r="21" spans="1:12">
      <c r="A21" s="122" t="s">
        <v>1706</v>
      </c>
      <c r="B21" s="328" t="s">
        <v>1360</v>
      </c>
      <c r="C21" s="329"/>
      <c r="D21" s="118">
        <v>20</v>
      </c>
      <c r="E21" s="118">
        <v>10</v>
      </c>
      <c r="F21" s="118">
        <v>30</v>
      </c>
      <c r="G21" s="118">
        <v>0.99</v>
      </c>
      <c r="H21" s="118">
        <v>0.99</v>
      </c>
      <c r="I21" s="118"/>
      <c r="J21" s="118">
        <v>0.38</v>
      </c>
      <c r="K21" s="118">
        <v>0.38</v>
      </c>
      <c r="L21" s="118"/>
    </row>
    <row r="22" spans="1:12">
      <c r="A22" s="122" t="s">
        <v>1707</v>
      </c>
      <c r="B22" s="328" t="s">
        <v>1360</v>
      </c>
      <c r="C22" s="329"/>
      <c r="D22" s="118">
        <v>20</v>
      </c>
      <c r="E22" s="118">
        <v>9</v>
      </c>
      <c r="F22" s="118">
        <v>39</v>
      </c>
      <c r="G22" s="118">
        <v>1.02</v>
      </c>
      <c r="H22" s="118">
        <v>1.02</v>
      </c>
      <c r="I22" s="118"/>
      <c r="J22" s="118">
        <v>0.42</v>
      </c>
      <c r="K22" s="118">
        <v>0.42</v>
      </c>
      <c r="L22" s="118"/>
    </row>
    <row r="23" spans="1:12">
      <c r="A23" s="119"/>
      <c r="B23" s="121" t="s">
        <v>1708</v>
      </c>
      <c r="C23" s="121"/>
      <c r="D23" s="120"/>
      <c r="E23" s="120"/>
      <c r="F23" s="120"/>
      <c r="G23" s="120"/>
      <c r="H23" s="120"/>
      <c r="I23" s="120"/>
      <c r="J23" s="120"/>
      <c r="K23" s="120"/>
      <c r="L23" s="120"/>
    </row>
    <row r="24" spans="1:12">
      <c r="A24" s="119"/>
      <c r="B24" s="331" t="s">
        <v>1709</v>
      </c>
      <c r="C24" s="332"/>
      <c r="D24" s="120"/>
      <c r="E24" s="120"/>
      <c r="F24" s="120"/>
      <c r="G24" s="120"/>
      <c r="H24" s="120"/>
      <c r="I24" s="120"/>
      <c r="J24" s="120"/>
      <c r="K24" s="120"/>
      <c r="L24" s="120"/>
    </row>
    <row r="25" spans="1:12">
      <c r="A25" s="122" t="s">
        <v>1710</v>
      </c>
      <c r="B25" s="328" t="s">
        <v>1691</v>
      </c>
      <c r="C25" s="330"/>
      <c r="D25" s="118">
        <v>21</v>
      </c>
      <c r="E25" s="118">
        <v>6</v>
      </c>
      <c r="F25" s="118">
        <v>69</v>
      </c>
      <c r="G25" s="118">
        <v>0.99</v>
      </c>
      <c r="H25" s="118">
        <v>0.99</v>
      </c>
      <c r="I25" s="118"/>
      <c r="J25" s="118">
        <v>0.41</v>
      </c>
      <c r="K25" s="118">
        <v>0.41</v>
      </c>
      <c r="L25" s="118"/>
    </row>
    <row r="26" spans="1:12">
      <c r="A26" s="122" t="s">
        <v>1711</v>
      </c>
      <c r="B26" s="328" t="s">
        <v>1383</v>
      </c>
      <c r="C26" s="330"/>
      <c r="D26" s="118">
        <v>21</v>
      </c>
      <c r="E26" s="118">
        <v>10</v>
      </c>
      <c r="F26" s="118">
        <v>104</v>
      </c>
      <c r="G26" s="118">
        <v>1.01</v>
      </c>
      <c r="H26" s="118">
        <v>1.01</v>
      </c>
      <c r="I26" s="118"/>
      <c r="J26" s="118">
        <v>0.41</v>
      </c>
      <c r="K26" s="118">
        <v>0.41</v>
      </c>
      <c r="L26" s="118"/>
    </row>
    <row r="27" spans="1:12">
      <c r="A27" s="119"/>
      <c r="B27" s="118" t="s">
        <v>1712</v>
      </c>
      <c r="C27" s="118"/>
      <c r="D27" s="120"/>
      <c r="E27" s="120"/>
      <c r="F27" s="120"/>
      <c r="G27" s="120"/>
      <c r="H27" s="120"/>
      <c r="I27" s="120"/>
      <c r="J27" s="120"/>
      <c r="K27" s="120"/>
      <c r="L27" s="120"/>
    </row>
    <row r="28" spans="1:12">
      <c r="A28" s="122" t="s">
        <v>1713</v>
      </c>
      <c r="B28" s="328" t="s">
        <v>1416</v>
      </c>
      <c r="C28" s="330"/>
      <c r="D28" s="118">
        <v>24</v>
      </c>
      <c r="E28" s="118">
        <v>9</v>
      </c>
      <c r="F28" s="118">
        <v>17</v>
      </c>
      <c r="G28" s="118">
        <v>0.92</v>
      </c>
      <c r="H28" s="118">
        <v>0.92</v>
      </c>
      <c r="I28" s="118"/>
      <c r="J28" s="118">
        <v>0.42</v>
      </c>
      <c r="K28" s="118">
        <v>0.42</v>
      </c>
      <c r="L28" s="118"/>
    </row>
    <row r="29" spans="1:12">
      <c r="A29" s="122" t="s">
        <v>1714</v>
      </c>
      <c r="B29" s="328" t="s">
        <v>1342</v>
      </c>
      <c r="C29" s="330"/>
      <c r="D29" s="118">
        <v>24</v>
      </c>
      <c r="E29" s="118">
        <v>10</v>
      </c>
      <c r="F29" s="118">
        <v>24</v>
      </c>
      <c r="G29" s="118">
        <v>0.98</v>
      </c>
      <c r="H29" s="118">
        <v>0.98</v>
      </c>
      <c r="I29" s="118"/>
      <c r="J29" s="118">
        <v>0.44</v>
      </c>
      <c r="K29" s="118">
        <v>0.44</v>
      </c>
      <c r="L29" s="118"/>
    </row>
    <row r="30" spans="1:12">
      <c r="A30" s="122" t="s">
        <v>1715</v>
      </c>
      <c r="B30" s="328" t="s">
        <v>1369</v>
      </c>
      <c r="C30" s="330"/>
      <c r="D30" s="118">
        <v>24</v>
      </c>
      <c r="E30" s="118">
        <v>12</v>
      </c>
      <c r="F30" s="118">
        <v>29</v>
      </c>
      <c r="G30" s="118">
        <v>0.96</v>
      </c>
      <c r="H30" s="118">
        <v>0.96</v>
      </c>
      <c r="I30" s="118"/>
      <c r="J30" s="118">
        <v>0.41</v>
      </c>
      <c r="K30" s="118">
        <v>0.41</v>
      </c>
      <c r="L30" s="118"/>
    </row>
    <row r="31" spans="1:12">
      <c r="A31" s="119"/>
      <c r="B31" s="121" t="s">
        <v>1708</v>
      </c>
      <c r="C31" s="121"/>
      <c r="D31" s="120"/>
      <c r="E31" s="120"/>
      <c r="F31" s="120"/>
      <c r="G31" s="120"/>
      <c r="H31" s="120"/>
      <c r="I31" s="120"/>
      <c r="J31" s="120"/>
      <c r="K31" s="120"/>
      <c r="L31" s="120"/>
    </row>
    <row r="32" spans="1:12">
      <c r="A32" s="119"/>
      <c r="B32" s="118" t="s">
        <v>1716</v>
      </c>
      <c r="C32" s="118"/>
      <c r="D32" s="120"/>
      <c r="E32" s="120"/>
      <c r="F32" s="120"/>
      <c r="G32" s="120"/>
      <c r="H32" s="120"/>
      <c r="I32" s="120"/>
      <c r="J32" s="120"/>
      <c r="K32" s="120"/>
      <c r="L32" s="120"/>
    </row>
    <row r="33" spans="1:12">
      <c r="A33" s="122" t="s">
        <v>1717</v>
      </c>
      <c r="B33" s="328" t="s">
        <v>1691</v>
      </c>
      <c r="C33" s="330"/>
      <c r="D33" s="118">
        <v>25</v>
      </c>
      <c r="E33" s="118">
        <v>9</v>
      </c>
      <c r="F33" s="118">
        <v>41</v>
      </c>
      <c r="G33" s="118">
        <v>0.98</v>
      </c>
      <c r="H33" s="118">
        <v>0.98</v>
      </c>
      <c r="I33" s="118"/>
      <c r="J33" s="118">
        <v>0.47</v>
      </c>
      <c r="K33" s="118">
        <v>0.47</v>
      </c>
      <c r="L33" s="118"/>
    </row>
    <row r="34" spans="1:12">
      <c r="A34" s="122" t="s">
        <v>1718</v>
      </c>
      <c r="B34" s="118" t="s">
        <v>1443</v>
      </c>
      <c r="C34" s="118"/>
      <c r="D34" s="123" t="s">
        <v>1719</v>
      </c>
      <c r="E34" s="118">
        <v>11</v>
      </c>
      <c r="F34" s="118">
        <v>76</v>
      </c>
      <c r="G34" s="118">
        <v>1.03</v>
      </c>
      <c r="H34" s="118">
        <v>1.08</v>
      </c>
      <c r="I34" s="118"/>
      <c r="J34" s="118">
        <v>0.46</v>
      </c>
      <c r="K34" s="118">
        <v>0.46</v>
      </c>
      <c r="L34" s="118"/>
    </row>
    <row r="35" spans="1:12">
      <c r="A35" s="119"/>
      <c r="B35" s="118" t="s">
        <v>1720</v>
      </c>
      <c r="C35" s="118"/>
      <c r="D35" s="120"/>
      <c r="E35" s="120"/>
      <c r="F35" s="120"/>
      <c r="G35" s="120"/>
      <c r="H35" s="120"/>
      <c r="I35" s="120"/>
      <c r="J35" s="120"/>
      <c r="K35" s="120"/>
      <c r="L35" s="120"/>
    </row>
    <row r="36" spans="1:12">
      <c r="A36" s="122" t="s">
        <v>1721</v>
      </c>
      <c r="B36" s="328" t="s">
        <v>1416</v>
      </c>
      <c r="C36" s="330"/>
      <c r="D36" s="118">
        <v>28</v>
      </c>
      <c r="E36" s="118">
        <v>9</v>
      </c>
      <c r="F36" s="118">
        <v>24</v>
      </c>
      <c r="G36" s="118">
        <v>0.96</v>
      </c>
      <c r="H36" s="118">
        <v>0.98</v>
      </c>
      <c r="I36" s="118"/>
      <c r="J36" s="118">
        <v>0.47</v>
      </c>
      <c r="K36" s="118">
        <v>0.47</v>
      </c>
      <c r="L36" s="118"/>
    </row>
    <row r="37" spans="1:12">
      <c r="A37" s="122" t="s">
        <v>1722</v>
      </c>
      <c r="B37" s="328" t="s">
        <v>1395</v>
      </c>
      <c r="C37" s="330"/>
      <c r="D37" s="118">
        <v>28</v>
      </c>
      <c r="E37" s="118">
        <v>12</v>
      </c>
      <c r="F37" s="118">
        <v>33</v>
      </c>
      <c r="G37" s="118">
        <v>0.94</v>
      </c>
      <c r="H37" s="118">
        <v>0.94</v>
      </c>
      <c r="I37" s="118"/>
      <c r="J37" s="118">
        <v>0.44</v>
      </c>
      <c r="K37" s="118">
        <v>0.44</v>
      </c>
      <c r="L37" s="118"/>
    </row>
    <row r="38" spans="1:12">
      <c r="A38" s="122" t="s">
        <v>1723</v>
      </c>
      <c r="B38" s="328" t="s">
        <v>1369</v>
      </c>
      <c r="C38" s="330"/>
      <c r="D38" s="118">
        <v>28</v>
      </c>
      <c r="E38" s="118">
        <v>13</v>
      </c>
      <c r="F38" s="118">
        <v>37</v>
      </c>
      <c r="G38" s="118">
        <v>0.98</v>
      </c>
      <c r="H38" s="118">
        <v>0.96</v>
      </c>
      <c r="I38" s="118"/>
      <c r="J38" s="118">
        <v>0.44</v>
      </c>
      <c r="K38" s="118">
        <v>0.44</v>
      </c>
      <c r="L38" s="118"/>
    </row>
    <row r="39" spans="1:12">
      <c r="A39" s="119"/>
      <c r="B39" s="121" t="s">
        <v>1724</v>
      </c>
      <c r="C39" s="121"/>
      <c r="D39" s="120"/>
      <c r="E39" s="120"/>
      <c r="F39" s="120"/>
      <c r="G39" s="120"/>
      <c r="H39" s="120"/>
      <c r="I39" s="120"/>
      <c r="J39" s="120"/>
      <c r="K39" s="120"/>
      <c r="L39" s="120"/>
    </row>
    <row r="40" spans="1:12">
      <c r="A40" s="119"/>
      <c r="B40" s="118" t="s">
        <v>1725</v>
      </c>
      <c r="C40" s="118"/>
      <c r="D40" s="120"/>
      <c r="E40" s="120"/>
      <c r="F40" s="120"/>
      <c r="G40" s="120"/>
      <c r="H40" s="120"/>
      <c r="I40" s="120"/>
      <c r="J40" s="120"/>
      <c r="K40" s="120"/>
      <c r="L40" s="120"/>
    </row>
    <row r="41" spans="1:12">
      <c r="A41" s="122" t="s">
        <v>1726</v>
      </c>
      <c r="B41" s="328" t="s">
        <v>1367</v>
      </c>
      <c r="C41" s="330"/>
      <c r="D41" s="118">
        <v>32</v>
      </c>
      <c r="E41" s="118">
        <v>14</v>
      </c>
      <c r="F41" s="118">
        <v>50</v>
      </c>
      <c r="G41" s="118">
        <v>0.95</v>
      </c>
      <c r="H41" s="118">
        <v>0.95</v>
      </c>
      <c r="I41" s="118"/>
      <c r="J41" s="118">
        <v>0.45</v>
      </c>
      <c r="K41" s="118">
        <v>0.45</v>
      </c>
      <c r="L41" s="118"/>
    </row>
    <row r="42" spans="1:12">
      <c r="A42" s="122" t="s">
        <v>1727</v>
      </c>
      <c r="B42" s="328" t="s">
        <v>1342</v>
      </c>
      <c r="C42" s="330"/>
      <c r="D42" s="118">
        <v>32</v>
      </c>
      <c r="E42" s="118">
        <v>17</v>
      </c>
      <c r="F42" s="118">
        <v>70</v>
      </c>
      <c r="G42" s="118">
        <v>0.92</v>
      </c>
      <c r="H42" s="118">
        <v>0.95</v>
      </c>
      <c r="I42" s="118">
        <v>0.49</v>
      </c>
      <c r="J42" s="118">
        <v>0.39</v>
      </c>
      <c r="K42" s="118">
        <v>0.39</v>
      </c>
      <c r="L42" s="118">
        <v>0.39</v>
      </c>
    </row>
    <row r="43" spans="1:12">
      <c r="A43" s="122" t="s">
        <v>1728</v>
      </c>
      <c r="B43" s="328" t="s">
        <v>1369</v>
      </c>
      <c r="C43" s="330"/>
      <c r="D43" s="118">
        <v>32</v>
      </c>
      <c r="E43" s="118">
        <v>20</v>
      </c>
      <c r="F43" s="118">
        <v>80</v>
      </c>
      <c r="G43" s="118">
        <v>0.92</v>
      </c>
      <c r="H43" s="118">
        <v>0.92</v>
      </c>
      <c r="I43" s="118"/>
      <c r="J43" s="118">
        <v>0.41</v>
      </c>
      <c r="K43" s="118">
        <v>0.41</v>
      </c>
      <c r="L43" s="118"/>
    </row>
    <row r="44" spans="1:12">
      <c r="A44" s="122" t="s">
        <v>1729</v>
      </c>
      <c r="B44" s="328" t="s">
        <v>1395</v>
      </c>
      <c r="C44" s="330"/>
      <c r="D44" s="118">
        <v>32</v>
      </c>
      <c r="E44" s="118">
        <v>16</v>
      </c>
      <c r="F44" s="118">
        <v>67</v>
      </c>
      <c r="G44" s="118">
        <v>0.91</v>
      </c>
      <c r="H44" s="118">
        <v>0.91</v>
      </c>
      <c r="I44" s="118"/>
      <c r="J44" s="118">
        <v>0.39</v>
      </c>
      <c r="K44" s="118">
        <v>0.39</v>
      </c>
      <c r="L44" s="118"/>
    </row>
    <row r="45" spans="1:12">
      <c r="A45" s="122" t="s">
        <v>1730</v>
      </c>
      <c r="B45" s="328" t="s">
        <v>1406</v>
      </c>
      <c r="C45" s="330"/>
      <c r="D45" s="118">
        <v>32</v>
      </c>
      <c r="E45" s="118">
        <v>13</v>
      </c>
      <c r="F45" s="118">
        <v>48</v>
      </c>
      <c r="G45" s="118">
        <v>0.87</v>
      </c>
      <c r="H45" s="118">
        <v>0.92</v>
      </c>
      <c r="I45" s="118">
        <v>0.47</v>
      </c>
      <c r="J45" s="118">
        <v>0.4</v>
      </c>
      <c r="K45" s="118">
        <v>0.4</v>
      </c>
      <c r="L45" s="118">
        <v>0.39</v>
      </c>
    </row>
    <row r="46" spans="1:12">
      <c r="A46" s="122" t="s">
        <v>1731</v>
      </c>
      <c r="B46" s="333" t="s">
        <v>1360</v>
      </c>
      <c r="C46" s="334"/>
      <c r="D46" s="118">
        <v>32</v>
      </c>
      <c r="E46" s="118">
        <v>12</v>
      </c>
      <c r="F46" s="118">
        <v>44</v>
      </c>
      <c r="G46" s="118">
        <v>0.95</v>
      </c>
      <c r="H46" s="118">
        <v>0.95</v>
      </c>
      <c r="I46" s="118"/>
      <c r="J46" s="118">
        <v>0.41</v>
      </c>
      <c r="K46" s="118">
        <v>0.41</v>
      </c>
      <c r="L46" s="118"/>
    </row>
    <row r="47" spans="1:12">
      <c r="A47" s="114"/>
      <c r="B47" s="115" t="s">
        <v>1732</v>
      </c>
      <c r="C47" s="115"/>
      <c r="D47" s="116"/>
      <c r="E47" s="116"/>
      <c r="F47" s="116"/>
      <c r="G47" s="116"/>
      <c r="H47" s="116"/>
      <c r="I47" s="116"/>
      <c r="J47" s="116"/>
      <c r="K47" s="116"/>
      <c r="L47" s="116"/>
    </row>
    <row r="48" spans="1:12">
      <c r="A48" s="122" t="s">
        <v>1733</v>
      </c>
      <c r="B48" s="328" t="s">
        <v>1367</v>
      </c>
      <c r="C48" s="330"/>
      <c r="D48" s="118">
        <v>32</v>
      </c>
      <c r="E48" s="118">
        <v>12</v>
      </c>
      <c r="F48" s="118">
        <v>53</v>
      </c>
      <c r="G48" s="118">
        <v>1</v>
      </c>
      <c r="H48" s="118">
        <v>1</v>
      </c>
      <c r="I48" s="118"/>
      <c r="J48" s="118">
        <v>0.47</v>
      </c>
      <c r="K48" s="118">
        <v>0.47</v>
      </c>
      <c r="L48" s="118"/>
    </row>
    <row r="49" spans="1:12">
      <c r="A49" s="122" t="s">
        <v>1734</v>
      </c>
      <c r="B49" s="328" t="s">
        <v>1342</v>
      </c>
      <c r="C49" s="330"/>
      <c r="D49" s="118">
        <v>32</v>
      </c>
      <c r="E49" s="118">
        <v>15</v>
      </c>
      <c r="F49" s="118">
        <v>90</v>
      </c>
      <c r="G49" s="118">
        <v>0.96</v>
      </c>
      <c r="H49" s="118">
        <v>0.96</v>
      </c>
      <c r="I49" s="118">
        <v>0.42</v>
      </c>
      <c r="J49" s="118">
        <v>0.44</v>
      </c>
      <c r="K49" s="118">
        <v>0.44</v>
      </c>
      <c r="L49" s="118">
        <v>0.34</v>
      </c>
    </row>
    <row r="50" spans="1:12">
      <c r="A50" s="122" t="s">
        <v>1735</v>
      </c>
      <c r="B50" s="328" t="s">
        <v>1369</v>
      </c>
      <c r="C50" s="330"/>
      <c r="D50" s="118">
        <v>32</v>
      </c>
      <c r="E50" s="118">
        <v>17</v>
      </c>
      <c r="F50" s="118">
        <v>103</v>
      </c>
      <c r="G50" s="118">
        <v>0.98</v>
      </c>
      <c r="H50" s="118">
        <v>1</v>
      </c>
      <c r="I50" s="118">
        <v>0.49</v>
      </c>
      <c r="J50" s="118">
        <v>0.45</v>
      </c>
      <c r="K50" s="118">
        <v>0.45</v>
      </c>
      <c r="L50" s="118">
        <v>0.41</v>
      </c>
    </row>
    <row r="51" spans="1:12">
      <c r="A51" s="122" t="s">
        <v>1736</v>
      </c>
      <c r="B51" s="328" t="s">
        <v>1395</v>
      </c>
      <c r="C51" s="330"/>
      <c r="D51" s="118">
        <v>32</v>
      </c>
      <c r="E51" s="118">
        <v>15</v>
      </c>
      <c r="F51" s="118">
        <v>96</v>
      </c>
      <c r="G51" s="118">
        <v>0.95</v>
      </c>
      <c r="H51" s="118">
        <v>0.98</v>
      </c>
      <c r="I51" s="118">
        <v>0.47</v>
      </c>
      <c r="J51" s="118">
        <v>0.43</v>
      </c>
      <c r="K51" s="118">
        <v>0.44</v>
      </c>
      <c r="L51" s="118">
        <v>0.39</v>
      </c>
    </row>
    <row r="52" spans="1:12">
      <c r="A52" s="122" t="s">
        <v>1737</v>
      </c>
      <c r="B52" s="328" t="s">
        <v>1416</v>
      </c>
      <c r="C52" s="330"/>
      <c r="D52" s="118">
        <v>32</v>
      </c>
      <c r="E52" s="118">
        <v>11</v>
      </c>
      <c r="F52" s="118">
        <v>52</v>
      </c>
      <c r="G52" s="118">
        <v>0.99</v>
      </c>
      <c r="H52" s="118">
        <v>0.99</v>
      </c>
      <c r="I52" s="118"/>
      <c r="J52" s="118">
        <v>0.48</v>
      </c>
      <c r="K52" s="118">
        <v>0.48</v>
      </c>
      <c r="L52" s="118"/>
    </row>
    <row r="53" spans="1:12">
      <c r="A53" s="119"/>
      <c r="B53" s="121" t="s">
        <v>1738</v>
      </c>
      <c r="C53" s="121"/>
      <c r="D53" s="120"/>
      <c r="E53" s="120"/>
      <c r="F53" s="120"/>
      <c r="G53" s="120"/>
      <c r="H53" s="120"/>
      <c r="I53" s="120"/>
      <c r="J53" s="120"/>
      <c r="K53" s="120"/>
      <c r="L53" s="120"/>
    </row>
    <row r="54" spans="1:12">
      <c r="A54" s="119"/>
      <c r="B54" s="331" t="s">
        <v>1739</v>
      </c>
      <c r="C54" s="332"/>
      <c r="D54" s="120"/>
      <c r="E54" s="120"/>
      <c r="F54" s="120"/>
      <c r="G54" s="120"/>
      <c r="H54" s="120"/>
      <c r="I54" s="120"/>
      <c r="J54" s="120"/>
      <c r="K54" s="120"/>
      <c r="L54" s="120"/>
    </row>
    <row r="55" spans="1:12">
      <c r="A55" s="122" t="s">
        <v>1740</v>
      </c>
      <c r="B55" s="331" t="s">
        <v>1416</v>
      </c>
      <c r="C55" s="332"/>
      <c r="D55" s="118">
        <v>33</v>
      </c>
      <c r="E55" s="118">
        <v>11</v>
      </c>
      <c r="F55" s="118">
        <v>50</v>
      </c>
      <c r="G55" s="118">
        <v>0.92</v>
      </c>
      <c r="H55" s="118">
        <v>0.92</v>
      </c>
      <c r="I55" s="118"/>
      <c r="J55" s="118">
        <v>0.38</v>
      </c>
      <c r="K55" s="118">
        <v>0.38</v>
      </c>
      <c r="L55" s="118"/>
    </row>
    <row r="56" spans="1:12">
      <c r="A56" s="122" t="s">
        <v>1741</v>
      </c>
      <c r="B56" s="331" t="s">
        <v>1360</v>
      </c>
      <c r="C56" s="332"/>
      <c r="D56" s="118">
        <v>33</v>
      </c>
      <c r="E56" s="118">
        <v>11</v>
      </c>
      <c r="F56" s="118">
        <v>43</v>
      </c>
      <c r="G56" s="118">
        <v>0.79</v>
      </c>
      <c r="H56" s="118">
        <v>0.79</v>
      </c>
      <c r="I56" s="118"/>
      <c r="J56" s="118">
        <v>0.37</v>
      </c>
      <c r="K56" s="118">
        <v>0.37</v>
      </c>
      <c r="L56" s="118"/>
    </row>
    <row r="57" spans="1:12">
      <c r="A57" s="122" t="s">
        <v>1742</v>
      </c>
      <c r="B57" s="331" t="s">
        <v>1374</v>
      </c>
      <c r="C57" s="332"/>
      <c r="D57" s="118">
        <v>33</v>
      </c>
      <c r="E57" s="118">
        <v>9</v>
      </c>
      <c r="F57" s="118">
        <v>32</v>
      </c>
      <c r="G57" s="118">
        <v>0.88</v>
      </c>
      <c r="H57" s="118">
        <v>0.88</v>
      </c>
      <c r="I57" s="118"/>
      <c r="J57" s="118">
        <v>0.4</v>
      </c>
      <c r="K57" s="118">
        <v>0.4</v>
      </c>
      <c r="L57" s="118"/>
    </row>
    <row r="58" spans="1:12">
      <c r="A58" s="122" t="s">
        <v>1743</v>
      </c>
      <c r="B58" s="331" t="s">
        <v>1423</v>
      </c>
      <c r="C58" s="332"/>
      <c r="D58" s="118">
        <v>33</v>
      </c>
      <c r="E58" s="118">
        <v>11</v>
      </c>
      <c r="F58" s="118">
        <v>46</v>
      </c>
      <c r="G58" s="118">
        <v>0.9</v>
      </c>
      <c r="H58" s="118">
        <v>0.9</v>
      </c>
      <c r="I58" s="118"/>
      <c r="J58" s="118">
        <v>0.38</v>
      </c>
      <c r="K58" s="118">
        <v>0.38</v>
      </c>
      <c r="L58" s="118"/>
    </row>
    <row r="59" spans="1:12">
      <c r="A59" s="119"/>
      <c r="B59" s="118" t="s">
        <v>1744</v>
      </c>
      <c r="C59" s="118"/>
      <c r="D59" s="120"/>
      <c r="E59" s="120"/>
      <c r="F59" s="120"/>
      <c r="G59" s="120"/>
      <c r="H59" s="120"/>
      <c r="I59" s="120"/>
      <c r="J59" s="120"/>
      <c r="K59" s="120"/>
      <c r="L59" s="120"/>
    </row>
    <row r="60" spans="1:12">
      <c r="A60" s="122">
        <v>156</v>
      </c>
      <c r="B60" s="331" t="s">
        <v>1745</v>
      </c>
      <c r="C60" s="332"/>
      <c r="D60" s="118">
        <v>42</v>
      </c>
      <c r="E60" s="118">
        <v>16</v>
      </c>
      <c r="F60" s="118">
        <v>13</v>
      </c>
      <c r="G60" s="118">
        <v>1</v>
      </c>
      <c r="H60" s="118">
        <v>0.99</v>
      </c>
      <c r="I60" s="118"/>
      <c r="J60" s="118">
        <v>0.46</v>
      </c>
      <c r="K60" s="118">
        <v>0.46</v>
      </c>
      <c r="L60" s="118"/>
    </row>
    <row r="61" spans="1:12">
      <c r="A61" s="122">
        <v>157</v>
      </c>
      <c r="B61" s="335"/>
      <c r="C61" s="336"/>
      <c r="D61" s="118">
        <v>42</v>
      </c>
      <c r="E61" s="118">
        <v>18</v>
      </c>
      <c r="F61" s="118">
        <v>14</v>
      </c>
      <c r="G61" s="118">
        <v>0.95</v>
      </c>
      <c r="H61" s="118">
        <v>0.96</v>
      </c>
      <c r="I61" s="118"/>
      <c r="J61" s="118">
        <v>0.48</v>
      </c>
      <c r="K61" s="118">
        <v>0.49</v>
      </c>
      <c r="L61" s="118"/>
    </row>
    <row r="62" spans="1:12">
      <c r="A62" s="122">
        <v>158</v>
      </c>
      <c r="B62" s="335"/>
      <c r="C62" s="336"/>
      <c r="D62" s="118">
        <v>42</v>
      </c>
      <c r="E62" s="118">
        <v>24</v>
      </c>
      <c r="F62" s="118">
        <v>19</v>
      </c>
      <c r="G62" s="118">
        <v>0.95</v>
      </c>
      <c r="H62" s="118">
        <v>0.98</v>
      </c>
      <c r="I62" s="118"/>
      <c r="J62" s="118">
        <v>0.39</v>
      </c>
      <c r="K62" s="118">
        <v>0.42</v>
      </c>
      <c r="L62" s="118"/>
    </row>
    <row r="63" spans="1:12">
      <c r="A63" s="119"/>
      <c r="B63" s="121" t="s">
        <v>1746</v>
      </c>
      <c r="C63" s="121"/>
      <c r="D63" s="120"/>
      <c r="E63" s="120"/>
      <c r="F63" s="120"/>
      <c r="G63" s="120"/>
      <c r="H63" s="120"/>
      <c r="I63" s="120"/>
      <c r="J63" s="120"/>
      <c r="K63" s="120"/>
      <c r="L63" s="120"/>
    </row>
    <row r="64" spans="1:12">
      <c r="A64" s="122">
        <v>159</v>
      </c>
      <c r="B64" s="331" t="s">
        <v>1747</v>
      </c>
      <c r="C64" s="332"/>
      <c r="D64" s="118">
        <v>55</v>
      </c>
      <c r="E64" s="118">
        <v>22</v>
      </c>
      <c r="F64" s="118">
        <v>23</v>
      </c>
      <c r="G64" s="118">
        <v>0.98</v>
      </c>
      <c r="H64" s="118">
        <v>1.08</v>
      </c>
      <c r="I64" s="118">
        <v>0.71</v>
      </c>
      <c r="J64" s="118">
        <v>0.5</v>
      </c>
      <c r="K64" s="118">
        <v>0.52</v>
      </c>
      <c r="L64" s="118">
        <v>0.43</v>
      </c>
    </row>
    <row r="65" spans="1:12">
      <c r="A65" s="119"/>
      <c r="B65" s="331"/>
      <c r="C65" s="332"/>
      <c r="D65" s="120"/>
      <c r="E65" s="120"/>
      <c r="F65" s="120"/>
      <c r="G65" s="120"/>
      <c r="H65" s="120"/>
      <c r="I65" s="120"/>
      <c r="J65" s="120"/>
      <c r="K65" s="120"/>
      <c r="L65" s="120"/>
    </row>
    <row r="66" spans="1:12">
      <c r="A66" s="119"/>
      <c r="B66" s="121" t="s">
        <v>0</v>
      </c>
      <c r="C66" s="121"/>
      <c r="D66" s="120"/>
      <c r="E66" s="120"/>
      <c r="F66" s="120"/>
      <c r="G66" s="120"/>
      <c r="H66" s="120"/>
      <c r="I66" s="120"/>
      <c r="J66" s="120"/>
      <c r="K66" s="120"/>
      <c r="L66" s="120"/>
    </row>
    <row r="67" spans="1:12">
      <c r="A67" s="122">
        <v>160</v>
      </c>
      <c r="B67" s="331" t="s">
        <v>1</v>
      </c>
      <c r="C67" s="332"/>
      <c r="D67" s="118">
        <v>60</v>
      </c>
      <c r="E67" s="118">
        <v>22</v>
      </c>
      <c r="F67" s="118">
        <v>35</v>
      </c>
      <c r="G67" s="118">
        <v>0.97</v>
      </c>
      <c r="H67" s="118">
        <v>1.05</v>
      </c>
      <c r="I67" s="118">
        <v>0.73</v>
      </c>
      <c r="J67" s="118">
        <v>0.46</v>
      </c>
      <c r="K67" s="118">
        <v>0.47</v>
      </c>
      <c r="L67" s="118">
        <v>0.44</v>
      </c>
    </row>
    <row r="68" spans="1:12">
      <c r="A68" s="122">
        <v>161</v>
      </c>
      <c r="B68" s="335"/>
      <c r="C68" s="336"/>
      <c r="D68" s="118">
        <v>60</v>
      </c>
      <c r="E68" s="118">
        <v>32</v>
      </c>
      <c r="F68" s="118">
        <v>39</v>
      </c>
      <c r="G68" s="118">
        <v>0.84</v>
      </c>
      <c r="H68" s="118">
        <v>0.99</v>
      </c>
      <c r="I68" s="118">
        <v>0.52</v>
      </c>
      <c r="J68" s="118">
        <v>0.44</v>
      </c>
      <c r="K68" s="118">
        <v>0.47</v>
      </c>
      <c r="L68" s="118">
        <v>0.41</v>
      </c>
    </row>
    <row r="69" spans="1:12">
      <c r="A69" s="122">
        <v>162</v>
      </c>
      <c r="B69" s="335"/>
      <c r="C69" s="336"/>
      <c r="D69" s="118">
        <v>60</v>
      </c>
      <c r="E69" s="118">
        <v>33</v>
      </c>
      <c r="F69" s="118">
        <v>41</v>
      </c>
      <c r="G69" s="118">
        <v>0.87</v>
      </c>
      <c r="H69" s="118">
        <v>1.03</v>
      </c>
      <c r="I69" s="118">
        <v>0.57999999999999996</v>
      </c>
      <c r="J69" s="118">
        <v>0.43</v>
      </c>
      <c r="K69" s="118">
        <v>0.44</v>
      </c>
      <c r="L69" s="118">
        <v>0.41</v>
      </c>
    </row>
    <row r="70" spans="1:12">
      <c r="A70" s="119"/>
      <c r="B70" s="121" t="s">
        <v>2</v>
      </c>
      <c r="C70" s="121"/>
      <c r="D70" s="120"/>
      <c r="E70" s="120"/>
      <c r="F70" s="120"/>
      <c r="G70" s="120"/>
      <c r="H70" s="120"/>
      <c r="I70" s="120"/>
      <c r="J70" s="120"/>
      <c r="K70" s="120"/>
      <c r="L70" s="120"/>
    </row>
    <row r="71" spans="1:12">
      <c r="A71" s="122">
        <v>163</v>
      </c>
      <c r="B71" s="331" t="s">
        <v>3</v>
      </c>
      <c r="C71" s="332"/>
      <c r="D71" s="118">
        <v>65</v>
      </c>
      <c r="E71" s="118">
        <v>18</v>
      </c>
      <c r="F71" s="118">
        <v>25</v>
      </c>
      <c r="G71" s="118">
        <v>0.86</v>
      </c>
      <c r="H71" s="118">
        <v>1</v>
      </c>
      <c r="I71" s="118">
        <v>0.53</v>
      </c>
      <c r="J71" s="118">
        <v>0.5</v>
      </c>
      <c r="K71" s="118">
        <v>0.51</v>
      </c>
      <c r="L71" s="118">
        <v>0.44</v>
      </c>
    </row>
    <row r="72" spans="1:12">
      <c r="A72" s="122">
        <v>164</v>
      </c>
      <c r="B72" s="335"/>
      <c r="C72" s="336"/>
      <c r="D72" s="118">
        <v>65</v>
      </c>
      <c r="E72" s="118">
        <v>23</v>
      </c>
      <c r="F72" s="118">
        <v>27</v>
      </c>
      <c r="G72" s="118">
        <v>0.93</v>
      </c>
      <c r="H72" s="118">
        <v>1.04</v>
      </c>
      <c r="I72" s="118">
        <v>0.48</v>
      </c>
      <c r="J72" s="118">
        <v>0.46</v>
      </c>
      <c r="K72" s="118">
        <v>0.47</v>
      </c>
      <c r="L72" s="118">
        <v>0.41</v>
      </c>
    </row>
    <row r="73" spans="1:12">
      <c r="A73" s="122">
        <v>165</v>
      </c>
      <c r="B73" s="335"/>
      <c r="C73" s="336"/>
      <c r="D73" s="118">
        <v>65</v>
      </c>
      <c r="E73" s="118">
        <v>27</v>
      </c>
      <c r="F73" s="118">
        <v>31</v>
      </c>
      <c r="G73" s="118">
        <v>0.99</v>
      </c>
      <c r="H73" s="118">
        <v>1.05</v>
      </c>
      <c r="I73" s="118">
        <v>0.54</v>
      </c>
      <c r="J73" s="118">
        <v>0.51</v>
      </c>
      <c r="K73" s="118">
        <v>0.52</v>
      </c>
      <c r="L73" s="118">
        <v>0.46</v>
      </c>
    </row>
    <row r="74" spans="1:12">
      <c r="A74" s="122">
        <v>166</v>
      </c>
      <c r="B74" s="335"/>
      <c r="C74" s="336"/>
      <c r="D74" s="118">
        <v>65</v>
      </c>
      <c r="E74" s="118">
        <v>32</v>
      </c>
      <c r="F74" s="118">
        <v>35</v>
      </c>
      <c r="G74" s="118">
        <v>0.97</v>
      </c>
      <c r="H74" s="118">
        <v>1.06</v>
      </c>
      <c r="I74" s="118">
        <v>0.54</v>
      </c>
      <c r="J74" s="118">
        <v>0.52</v>
      </c>
      <c r="K74" s="118">
        <v>0.53</v>
      </c>
      <c r="L74" s="118">
        <v>0.47</v>
      </c>
    </row>
    <row r="75" spans="1:12">
      <c r="A75" s="119"/>
      <c r="B75" s="121" t="s">
        <v>1746</v>
      </c>
      <c r="C75" s="121"/>
      <c r="D75" s="120"/>
      <c r="E75" s="120"/>
      <c r="F75" s="120"/>
      <c r="G75" s="120"/>
      <c r="H75" s="120"/>
      <c r="I75" s="120"/>
      <c r="J75" s="120"/>
      <c r="K75" s="120"/>
      <c r="L75" s="120"/>
    </row>
    <row r="76" spans="1:12">
      <c r="A76" s="122">
        <v>170</v>
      </c>
      <c r="B76" s="331" t="s">
        <v>4</v>
      </c>
      <c r="C76" s="332"/>
      <c r="D76" s="118">
        <v>70</v>
      </c>
      <c r="E76" s="118">
        <v>17</v>
      </c>
      <c r="F76" s="118">
        <v>28</v>
      </c>
      <c r="G76" s="118">
        <v>0.87</v>
      </c>
      <c r="H76" s="118">
        <v>1.04</v>
      </c>
      <c r="I76" s="118">
        <v>0.56999999999999995</v>
      </c>
      <c r="J76" s="118">
        <v>0.51</v>
      </c>
      <c r="K76" s="118">
        <v>0.54</v>
      </c>
      <c r="L76" s="118">
        <v>0.49</v>
      </c>
    </row>
    <row r="77" spans="1:12">
      <c r="A77" s="122">
        <v>171</v>
      </c>
      <c r="B77" s="335"/>
      <c r="C77" s="336"/>
      <c r="D77" s="118">
        <v>70</v>
      </c>
      <c r="E77" s="118">
        <v>28</v>
      </c>
      <c r="F77" s="118">
        <v>39</v>
      </c>
      <c r="G77" s="118">
        <v>0.89</v>
      </c>
      <c r="H77" s="118">
        <v>1.02</v>
      </c>
      <c r="I77" s="118">
        <v>0.52</v>
      </c>
      <c r="J77" s="118">
        <v>0.5</v>
      </c>
      <c r="K77" s="118">
        <v>0.51</v>
      </c>
      <c r="L77" s="118">
        <v>0.46</v>
      </c>
    </row>
    <row r="78" spans="1:12">
      <c r="A78" s="122">
        <v>172</v>
      </c>
      <c r="B78" s="335"/>
      <c r="C78" s="336"/>
      <c r="D78" s="118">
        <v>70</v>
      </c>
      <c r="E78" s="118">
        <v>37</v>
      </c>
      <c r="F78" s="118">
        <v>56</v>
      </c>
      <c r="G78" s="118">
        <v>0.88</v>
      </c>
      <c r="H78" s="118">
        <v>0.99</v>
      </c>
      <c r="I78" s="118">
        <v>0.48</v>
      </c>
      <c r="J78" s="118">
        <v>0.44</v>
      </c>
      <c r="K78" s="118">
        <v>0.45</v>
      </c>
      <c r="L78" s="118">
        <v>0.41</v>
      </c>
    </row>
    <row r="79" spans="1:12">
      <c r="A79" s="119"/>
      <c r="B79" s="121" t="s">
        <v>1746</v>
      </c>
      <c r="C79" s="121"/>
      <c r="D79" s="120"/>
      <c r="E79" s="118" t="s">
        <v>5</v>
      </c>
      <c r="F79" s="120"/>
      <c r="G79" s="120"/>
      <c r="H79" s="120"/>
      <c r="I79" s="120"/>
      <c r="J79" s="120"/>
      <c r="K79" s="120"/>
      <c r="L79" s="120"/>
    </row>
    <row r="80" spans="1:12">
      <c r="A80" s="122">
        <v>173</v>
      </c>
      <c r="B80" s="331" t="s">
        <v>1747</v>
      </c>
      <c r="C80" s="332"/>
      <c r="D80" s="118">
        <v>71</v>
      </c>
      <c r="E80" s="118">
        <v>29</v>
      </c>
      <c r="F80" s="118">
        <v>27</v>
      </c>
      <c r="G80" s="118">
        <v>0.93</v>
      </c>
      <c r="H80" s="118">
        <v>1.06</v>
      </c>
      <c r="I80" s="118">
        <v>0.5</v>
      </c>
      <c r="J80" s="118">
        <v>0.48</v>
      </c>
      <c r="K80" s="118">
        <v>0.5</v>
      </c>
      <c r="L80" s="118">
        <v>0.43</v>
      </c>
    </row>
    <row r="81" spans="1:12">
      <c r="A81" s="119"/>
      <c r="B81" s="121" t="s">
        <v>6</v>
      </c>
      <c r="C81" s="121"/>
      <c r="D81" s="118"/>
      <c r="E81" s="120"/>
      <c r="F81" s="120"/>
      <c r="G81" s="120"/>
      <c r="H81" s="120"/>
      <c r="I81" s="120"/>
      <c r="J81" s="120"/>
      <c r="K81" s="120"/>
      <c r="L81" s="120"/>
    </row>
    <row r="82" spans="1:12">
      <c r="A82" s="122">
        <v>174</v>
      </c>
      <c r="B82" s="331" t="s">
        <v>7</v>
      </c>
      <c r="C82" s="332"/>
      <c r="D82" s="118">
        <v>80</v>
      </c>
      <c r="E82" s="118">
        <v>25</v>
      </c>
      <c r="F82" s="118">
        <v>29</v>
      </c>
      <c r="G82" s="118">
        <v>0.97</v>
      </c>
      <c r="H82" s="118">
        <v>1.0900000000000001</v>
      </c>
      <c r="I82" s="118">
        <v>0.62</v>
      </c>
      <c r="J82" s="118">
        <v>0.59</v>
      </c>
      <c r="K82" s="118">
        <v>0.59</v>
      </c>
      <c r="L82" s="118">
        <v>0.55000000000000004</v>
      </c>
    </row>
    <row r="83" spans="1:12">
      <c r="A83" s="122">
        <v>175</v>
      </c>
      <c r="B83" s="331"/>
      <c r="C83" s="332"/>
      <c r="D83" s="118">
        <v>80</v>
      </c>
      <c r="E83" s="118">
        <v>29</v>
      </c>
      <c r="F83" s="118">
        <v>37</v>
      </c>
      <c r="G83" s="118">
        <v>0.96</v>
      </c>
      <c r="H83" s="118">
        <v>1.06</v>
      </c>
      <c r="I83" s="118">
        <v>0.56000000000000005</v>
      </c>
      <c r="J83" s="118">
        <v>0.55000000000000004</v>
      </c>
      <c r="K83" s="118">
        <v>0.56999999999999995</v>
      </c>
      <c r="L83" s="118">
        <v>0.48</v>
      </c>
    </row>
    <row r="84" spans="1:12">
      <c r="A84" s="122">
        <v>176</v>
      </c>
      <c r="B84" s="335"/>
      <c r="C84" s="336"/>
      <c r="D84" s="118">
        <v>80</v>
      </c>
      <c r="E84" s="118">
        <v>35</v>
      </c>
      <c r="F84" s="118">
        <v>43</v>
      </c>
      <c r="G84" s="118">
        <v>0.89</v>
      </c>
      <c r="H84" s="118">
        <v>1.07</v>
      </c>
      <c r="I84" s="118">
        <v>0.56999999999999995</v>
      </c>
      <c r="J84" s="118">
        <v>0.54</v>
      </c>
      <c r="K84" s="118">
        <v>0.56000000000000005</v>
      </c>
      <c r="L84" s="118">
        <v>0.48</v>
      </c>
    </row>
    <row r="85" spans="1:12">
      <c r="A85" s="122">
        <v>177</v>
      </c>
      <c r="B85" s="335"/>
      <c r="C85" s="336"/>
      <c r="D85" s="118">
        <v>80</v>
      </c>
      <c r="E85" s="118">
        <v>39</v>
      </c>
      <c r="F85" s="118">
        <v>45</v>
      </c>
      <c r="G85" s="118">
        <v>0.88</v>
      </c>
      <c r="H85" s="118">
        <v>1.03</v>
      </c>
      <c r="I85" s="118">
        <v>0.5</v>
      </c>
      <c r="J85" s="118">
        <v>0.48</v>
      </c>
      <c r="K85" s="118">
        <v>0.48</v>
      </c>
      <c r="L85" s="118">
        <v>0.43</v>
      </c>
    </row>
    <row r="86" spans="1:12">
      <c r="A86" s="122"/>
      <c r="B86" s="124" t="s">
        <v>8</v>
      </c>
      <c r="C86" s="125"/>
      <c r="D86" s="118"/>
      <c r="E86" s="118"/>
      <c r="F86" s="118"/>
      <c r="G86" s="118"/>
      <c r="H86" s="118"/>
      <c r="I86" s="118"/>
      <c r="J86" s="118"/>
      <c r="K86" s="118"/>
      <c r="L86" s="118"/>
    </row>
    <row r="87" spans="1:12">
      <c r="A87" s="122">
        <v>178</v>
      </c>
      <c r="B87" s="331" t="s">
        <v>9</v>
      </c>
      <c r="C87" s="332"/>
      <c r="D87" s="118">
        <v>81</v>
      </c>
      <c r="E87" s="118">
        <v>24</v>
      </c>
      <c r="F87" s="118">
        <v>31</v>
      </c>
      <c r="G87" s="118">
        <v>0.95</v>
      </c>
      <c r="H87" s="118">
        <v>1.06</v>
      </c>
      <c r="I87" s="118">
        <v>0.59</v>
      </c>
      <c r="J87" s="118">
        <v>0.55000000000000004</v>
      </c>
      <c r="K87" s="118">
        <v>0.56999999999999995</v>
      </c>
      <c r="L87" s="118">
        <v>0.49</v>
      </c>
    </row>
    <row r="88" spans="1:12">
      <c r="A88" s="122">
        <v>179</v>
      </c>
      <c r="B88" s="335"/>
      <c r="C88" s="336"/>
      <c r="D88" s="118">
        <v>81</v>
      </c>
      <c r="E88" s="118">
        <v>27</v>
      </c>
      <c r="F88" s="118">
        <v>33</v>
      </c>
      <c r="G88" s="118">
        <v>0.92</v>
      </c>
      <c r="H88" s="118">
        <v>1.07</v>
      </c>
      <c r="I88" s="118">
        <v>0.59</v>
      </c>
      <c r="J88" s="118">
        <v>0.56000000000000005</v>
      </c>
      <c r="K88" s="118">
        <v>0.56999999999999995</v>
      </c>
      <c r="L88" s="118">
        <v>0.51</v>
      </c>
    </row>
    <row r="89" spans="1:12">
      <c r="A89" s="122">
        <v>180</v>
      </c>
      <c r="B89" s="337"/>
      <c r="C89" s="338"/>
      <c r="D89" s="118">
        <v>81</v>
      </c>
      <c r="E89" s="118">
        <v>32</v>
      </c>
      <c r="F89" s="118">
        <v>33</v>
      </c>
      <c r="G89" s="118">
        <v>0.89</v>
      </c>
      <c r="H89" s="118">
        <v>1.04</v>
      </c>
      <c r="I89" s="118">
        <v>0.54</v>
      </c>
      <c r="J89" s="118">
        <v>0.46</v>
      </c>
      <c r="K89" s="118">
        <v>0.48</v>
      </c>
      <c r="L89" s="118">
        <v>0.46</v>
      </c>
    </row>
    <row r="90" spans="1:12">
      <c r="A90" s="114"/>
      <c r="B90" s="126" t="s">
        <v>10</v>
      </c>
      <c r="C90" s="126"/>
      <c r="D90" s="116"/>
      <c r="E90" s="116"/>
      <c r="F90" s="116"/>
      <c r="G90" s="116"/>
      <c r="H90" s="116"/>
      <c r="I90" s="116"/>
      <c r="J90" s="116"/>
      <c r="K90" s="116"/>
      <c r="L90" s="116"/>
    </row>
    <row r="91" spans="1:12">
      <c r="A91" s="127">
        <v>181</v>
      </c>
      <c r="B91" s="335"/>
      <c r="C91" s="336"/>
      <c r="D91" s="128">
        <v>82</v>
      </c>
      <c r="E91" s="128">
        <v>23</v>
      </c>
      <c r="F91" s="128">
        <v>29</v>
      </c>
      <c r="G91" s="128">
        <v>0.92</v>
      </c>
      <c r="H91" s="128">
        <v>1.03</v>
      </c>
      <c r="I91" s="128">
        <v>0.52</v>
      </c>
      <c r="J91" s="128">
        <v>0.48</v>
      </c>
      <c r="K91" s="128">
        <v>0.48</v>
      </c>
      <c r="L91" s="128">
        <v>0.44</v>
      </c>
    </row>
    <row r="92" spans="1:12">
      <c r="A92" s="127">
        <v>182</v>
      </c>
      <c r="B92" s="335"/>
      <c r="C92" s="336"/>
      <c r="D92" s="128">
        <v>82</v>
      </c>
      <c r="E92" s="128">
        <v>26</v>
      </c>
      <c r="F92" s="128">
        <v>34</v>
      </c>
      <c r="G92" s="128">
        <v>0.88</v>
      </c>
      <c r="H92" s="128">
        <v>1.01</v>
      </c>
      <c r="I92" s="128">
        <v>0.53</v>
      </c>
      <c r="J92" s="128">
        <v>0.48</v>
      </c>
      <c r="K92" s="128">
        <v>0.48</v>
      </c>
      <c r="L92" s="128">
        <v>0.45</v>
      </c>
    </row>
    <row r="93" spans="1:12">
      <c r="A93" s="127">
        <v>183</v>
      </c>
      <c r="B93" s="335"/>
      <c r="C93" s="336"/>
      <c r="D93" s="128">
        <v>82</v>
      </c>
      <c r="E93" s="128">
        <v>29</v>
      </c>
      <c r="F93" s="128">
        <v>37</v>
      </c>
      <c r="G93" s="128">
        <v>0.95</v>
      </c>
      <c r="H93" s="128">
        <v>1.05</v>
      </c>
      <c r="I93" s="128">
        <v>0.6</v>
      </c>
      <c r="J93" s="128">
        <v>0.55000000000000004</v>
      </c>
      <c r="K93" s="128">
        <v>0.56000000000000005</v>
      </c>
      <c r="L93" s="128">
        <v>0.52</v>
      </c>
    </row>
    <row r="94" spans="1:12">
      <c r="A94" s="127">
        <v>184</v>
      </c>
      <c r="B94" s="335"/>
      <c r="C94" s="336"/>
      <c r="D94" s="128">
        <v>82</v>
      </c>
      <c r="E94" s="128">
        <v>32</v>
      </c>
      <c r="F94" s="128">
        <v>39</v>
      </c>
      <c r="G94" s="128">
        <v>0.96</v>
      </c>
      <c r="H94" s="128">
        <v>1.05</v>
      </c>
      <c r="I94" s="128">
        <v>0.51</v>
      </c>
      <c r="J94" s="128">
        <v>0.49</v>
      </c>
      <c r="K94" s="128">
        <v>0.5</v>
      </c>
      <c r="L94" s="128">
        <v>0.44</v>
      </c>
    </row>
    <row r="95" spans="1:12">
      <c r="A95" s="127">
        <v>185</v>
      </c>
      <c r="B95" s="335"/>
      <c r="C95" s="336"/>
      <c r="D95" s="128">
        <v>82</v>
      </c>
      <c r="E95" s="128">
        <v>37</v>
      </c>
      <c r="F95" s="128">
        <v>49</v>
      </c>
      <c r="G95" s="128">
        <v>0.87</v>
      </c>
      <c r="H95" s="128">
        <v>1.04</v>
      </c>
      <c r="I95" s="128">
        <v>0.53</v>
      </c>
      <c r="J95" s="128">
        <v>0.51</v>
      </c>
      <c r="K95" s="128">
        <v>0.53</v>
      </c>
      <c r="L95" s="128">
        <v>0.45</v>
      </c>
    </row>
    <row r="96" spans="1:12">
      <c r="A96" s="119"/>
      <c r="B96" s="339" t="s">
        <v>11</v>
      </c>
      <c r="C96" s="340"/>
      <c r="D96" s="120"/>
      <c r="E96" s="120"/>
      <c r="F96" s="120"/>
      <c r="G96" s="120"/>
      <c r="H96" s="120"/>
      <c r="I96" s="120"/>
      <c r="J96" s="120"/>
      <c r="K96" s="120"/>
      <c r="L96" s="120"/>
    </row>
    <row r="97" spans="1:12">
      <c r="A97" s="127">
        <v>186</v>
      </c>
      <c r="B97" s="335"/>
      <c r="C97" s="336"/>
      <c r="D97" s="128">
        <v>82</v>
      </c>
      <c r="E97" s="128">
        <v>21</v>
      </c>
      <c r="F97" s="128">
        <v>21</v>
      </c>
      <c r="G97" s="128">
        <v>0.96</v>
      </c>
      <c r="H97" s="128">
        <v>1.04</v>
      </c>
      <c r="I97" s="128">
        <v>0.56000000000000005</v>
      </c>
      <c r="J97" s="128">
        <v>0.46</v>
      </c>
      <c r="K97" s="128">
        <v>0.48</v>
      </c>
      <c r="L97" s="128">
        <v>0.45</v>
      </c>
    </row>
    <row r="98" spans="1:12">
      <c r="A98" s="127">
        <v>187</v>
      </c>
      <c r="B98" s="335"/>
      <c r="C98" s="336"/>
      <c r="D98" s="128">
        <v>82</v>
      </c>
      <c r="E98" s="128">
        <v>28</v>
      </c>
      <c r="F98" s="128">
        <v>23</v>
      </c>
      <c r="G98" s="128">
        <v>0.94</v>
      </c>
      <c r="H98" s="128">
        <v>1.06</v>
      </c>
      <c r="I98" s="128">
        <v>0.56999999999999995</v>
      </c>
      <c r="J98" s="128">
        <v>0.5</v>
      </c>
      <c r="K98" s="128">
        <v>0.52</v>
      </c>
      <c r="L98" s="128">
        <v>0.5</v>
      </c>
    </row>
    <row r="99" spans="1:12">
      <c r="A99" s="127" t="s">
        <v>12</v>
      </c>
      <c r="B99" s="335"/>
      <c r="C99" s="336"/>
      <c r="D99" s="128">
        <v>82</v>
      </c>
      <c r="E99" s="128">
        <v>37</v>
      </c>
      <c r="F99" s="128">
        <v>33</v>
      </c>
      <c r="G99" s="128">
        <v>0.93</v>
      </c>
      <c r="H99" s="128">
        <v>1.06</v>
      </c>
      <c r="I99" s="128">
        <v>0.53</v>
      </c>
      <c r="J99" s="128">
        <v>0.47</v>
      </c>
      <c r="K99" s="128">
        <v>0.48</v>
      </c>
      <c r="L99" s="128">
        <v>0.45</v>
      </c>
    </row>
    <row r="100" spans="1:12">
      <c r="A100" s="127">
        <v>189</v>
      </c>
      <c r="B100" s="335"/>
      <c r="C100" s="336"/>
      <c r="D100" s="128">
        <v>82</v>
      </c>
      <c r="E100" s="128">
        <v>42</v>
      </c>
      <c r="F100" s="128">
        <v>31</v>
      </c>
      <c r="G100" s="128">
        <v>0.95</v>
      </c>
      <c r="H100" s="128">
        <v>1.07</v>
      </c>
      <c r="I100" s="128">
        <v>0.54</v>
      </c>
      <c r="J100" s="128">
        <v>0.46</v>
      </c>
      <c r="K100" s="128">
        <v>0.46</v>
      </c>
      <c r="L100" s="128">
        <v>0.45</v>
      </c>
    </row>
    <row r="101" spans="1:12">
      <c r="A101" s="119"/>
      <c r="B101" s="128" t="s">
        <v>13</v>
      </c>
      <c r="C101" s="128"/>
      <c r="D101" s="120"/>
      <c r="E101" s="120"/>
      <c r="F101" s="120"/>
      <c r="G101" s="120"/>
      <c r="H101" s="120"/>
      <c r="I101" s="120"/>
      <c r="J101" s="120"/>
      <c r="K101" s="120"/>
      <c r="L101" s="120"/>
    </row>
    <row r="102" spans="1:12">
      <c r="A102" s="127">
        <v>190</v>
      </c>
      <c r="B102" s="335"/>
      <c r="C102" s="336"/>
      <c r="D102" s="128">
        <v>84</v>
      </c>
      <c r="E102" s="128">
        <v>28</v>
      </c>
      <c r="F102" s="128">
        <v>48</v>
      </c>
      <c r="G102" s="128">
        <v>0.95</v>
      </c>
      <c r="H102" s="128">
        <v>1.07</v>
      </c>
      <c r="I102" s="128">
        <v>0.59</v>
      </c>
      <c r="J102" s="128">
        <v>0.56999999999999995</v>
      </c>
      <c r="K102" s="128">
        <v>0.6</v>
      </c>
      <c r="L102" s="128">
        <v>0.51</v>
      </c>
    </row>
    <row r="103" spans="1:12">
      <c r="A103" s="127">
        <v>191</v>
      </c>
      <c r="B103" s="335"/>
      <c r="C103" s="336"/>
      <c r="D103" s="128">
        <v>84</v>
      </c>
      <c r="E103" s="128">
        <v>36</v>
      </c>
      <c r="F103" s="128">
        <v>63</v>
      </c>
      <c r="G103" s="128">
        <v>0.95</v>
      </c>
      <c r="H103" s="128">
        <v>1.04</v>
      </c>
      <c r="I103" s="128">
        <v>0.59</v>
      </c>
      <c r="J103" s="128">
        <v>0.51</v>
      </c>
      <c r="K103" s="128">
        <v>0.51</v>
      </c>
      <c r="L103" s="128">
        <v>0.49</v>
      </c>
    </row>
    <row r="104" spans="1:12">
      <c r="A104" s="127">
        <v>192</v>
      </c>
      <c r="B104" s="335"/>
      <c r="C104" s="336"/>
      <c r="D104" s="128">
        <v>84</v>
      </c>
      <c r="E104" s="128">
        <v>38</v>
      </c>
      <c r="F104" s="128">
        <v>63</v>
      </c>
      <c r="G104" s="128">
        <v>0.93</v>
      </c>
      <c r="H104" s="128">
        <v>1.05</v>
      </c>
      <c r="I104" s="128">
        <v>0.54</v>
      </c>
      <c r="J104" s="128">
        <v>0.5</v>
      </c>
      <c r="K104" s="128">
        <v>0.52</v>
      </c>
      <c r="L104" s="128">
        <v>0.46</v>
      </c>
    </row>
    <row r="105" spans="1:12">
      <c r="A105" s="127">
        <v>193</v>
      </c>
      <c r="B105" s="335"/>
      <c r="C105" s="336"/>
      <c r="D105" s="128">
        <v>84</v>
      </c>
      <c r="E105" s="128">
        <v>43</v>
      </c>
      <c r="F105" s="128">
        <v>59</v>
      </c>
      <c r="G105" s="128">
        <v>0.84</v>
      </c>
      <c r="H105" s="128">
        <v>1.01</v>
      </c>
      <c r="I105" s="128">
        <v>0.53</v>
      </c>
      <c r="J105" s="128">
        <v>0.46</v>
      </c>
      <c r="K105" s="128">
        <v>0.47</v>
      </c>
      <c r="L105" s="128">
        <v>0.45</v>
      </c>
    </row>
    <row r="106" spans="1:12">
      <c r="A106" s="127">
        <v>194</v>
      </c>
      <c r="B106" s="335"/>
      <c r="C106" s="336"/>
      <c r="D106" s="128">
        <v>84</v>
      </c>
      <c r="E106" s="128">
        <v>53</v>
      </c>
      <c r="F106" s="128">
        <v>87</v>
      </c>
      <c r="G106" s="128">
        <v>0.9</v>
      </c>
      <c r="H106" s="128">
        <v>1.04</v>
      </c>
      <c r="I106" s="128">
        <v>0.55000000000000004</v>
      </c>
      <c r="J106" s="128">
        <v>0.47</v>
      </c>
      <c r="K106" s="128">
        <v>0.48</v>
      </c>
      <c r="L106" s="128">
        <v>0.47</v>
      </c>
    </row>
    <row r="107" spans="1:12">
      <c r="A107" s="119"/>
      <c r="B107" s="128" t="s">
        <v>14</v>
      </c>
      <c r="C107" s="128"/>
      <c r="D107" s="120"/>
      <c r="E107" s="120"/>
      <c r="F107" s="120"/>
      <c r="G107" s="120"/>
      <c r="H107" s="120"/>
      <c r="I107" s="120"/>
      <c r="J107" s="120"/>
      <c r="K107" s="120"/>
      <c r="L107" s="120"/>
    </row>
    <row r="108" spans="1:12">
      <c r="A108" s="127">
        <v>195</v>
      </c>
      <c r="B108" s="335"/>
      <c r="C108" s="336"/>
      <c r="D108" s="128">
        <v>85</v>
      </c>
      <c r="E108" s="128">
        <v>35</v>
      </c>
      <c r="F108" s="128">
        <v>29</v>
      </c>
      <c r="G108" s="128">
        <v>0.87</v>
      </c>
      <c r="H108" s="128">
        <v>1.06</v>
      </c>
      <c r="I108" s="128">
        <v>0.54</v>
      </c>
      <c r="J108" s="128">
        <v>0.5</v>
      </c>
      <c r="K108" s="128">
        <v>0.5</v>
      </c>
      <c r="L108" s="128">
        <v>0.47</v>
      </c>
    </row>
    <row r="109" spans="1:12">
      <c r="A109" s="127">
        <v>196</v>
      </c>
      <c r="B109" s="335"/>
      <c r="C109" s="336"/>
      <c r="D109" s="128">
        <v>85</v>
      </c>
      <c r="E109" s="128">
        <v>39</v>
      </c>
      <c r="F109" s="128">
        <v>31</v>
      </c>
      <c r="G109" s="128">
        <v>0.89</v>
      </c>
      <c r="H109" s="128">
        <v>1.07</v>
      </c>
      <c r="I109" s="128">
        <v>0.61</v>
      </c>
      <c r="J109" s="128">
        <v>0.55000000000000004</v>
      </c>
      <c r="K109" s="128">
        <v>0.56000000000000005</v>
      </c>
      <c r="L109" s="128">
        <v>0.53</v>
      </c>
    </row>
    <row r="110" spans="1:12">
      <c r="A110" s="127">
        <v>197</v>
      </c>
      <c r="B110" s="335"/>
      <c r="C110" s="336"/>
      <c r="D110" s="128">
        <v>85</v>
      </c>
      <c r="E110" s="128">
        <v>49</v>
      </c>
      <c r="F110" s="128">
        <v>39</v>
      </c>
      <c r="G110" s="128">
        <v>0.86</v>
      </c>
      <c r="H110" s="128">
        <v>1.04</v>
      </c>
      <c r="I110" s="128">
        <v>0.59</v>
      </c>
      <c r="J110" s="128">
        <v>0.48</v>
      </c>
      <c r="K110" s="128">
        <v>0.46</v>
      </c>
      <c r="L110" s="128">
        <v>0.46</v>
      </c>
    </row>
    <row r="111" spans="1:12">
      <c r="A111" s="127">
        <v>198</v>
      </c>
      <c r="B111" s="335"/>
      <c r="C111" s="336"/>
      <c r="D111" s="128">
        <v>85</v>
      </c>
      <c r="E111" s="128">
        <v>52</v>
      </c>
      <c r="F111" s="128">
        <v>35</v>
      </c>
      <c r="G111" s="128">
        <v>0.84</v>
      </c>
      <c r="H111" s="128">
        <v>1.02</v>
      </c>
      <c r="I111" s="128">
        <v>0.49</v>
      </c>
      <c r="J111" s="128">
        <v>0.46</v>
      </c>
      <c r="K111" s="128">
        <v>0.47</v>
      </c>
      <c r="L111" s="128">
        <v>0.42</v>
      </c>
    </row>
    <row r="112" spans="1:12">
      <c r="A112" s="119"/>
      <c r="B112" s="129" t="s">
        <v>6</v>
      </c>
      <c r="C112" s="129"/>
      <c r="D112" s="120"/>
      <c r="E112" s="120"/>
      <c r="F112" s="120"/>
      <c r="G112" s="120"/>
      <c r="H112" s="120"/>
      <c r="I112" s="120"/>
      <c r="J112" s="120"/>
      <c r="K112" s="120"/>
      <c r="L112" s="120"/>
    </row>
    <row r="113" spans="1:12">
      <c r="A113" s="127">
        <v>199</v>
      </c>
      <c r="B113" s="339" t="s">
        <v>4</v>
      </c>
      <c r="C113" s="340"/>
      <c r="D113" s="128">
        <v>86</v>
      </c>
      <c r="E113" s="128">
        <v>22</v>
      </c>
      <c r="F113" s="128">
        <v>45</v>
      </c>
      <c r="G113" s="128">
        <v>0.89</v>
      </c>
      <c r="H113" s="128">
        <v>1.03</v>
      </c>
      <c r="I113" s="128">
        <v>0.6</v>
      </c>
      <c r="J113" s="128">
        <v>0.55000000000000004</v>
      </c>
      <c r="K113" s="128">
        <v>0.56999999999999995</v>
      </c>
      <c r="L113" s="128">
        <v>0.51</v>
      </c>
    </row>
    <row r="114" spans="1:12">
      <c r="A114" s="127">
        <v>200</v>
      </c>
      <c r="B114" s="335"/>
      <c r="C114" s="336"/>
      <c r="D114" s="128">
        <v>86</v>
      </c>
      <c r="E114" s="128">
        <v>33</v>
      </c>
      <c r="F114" s="128">
        <v>71</v>
      </c>
      <c r="G114" s="128">
        <v>0.92</v>
      </c>
      <c r="H114" s="128">
        <v>1.03</v>
      </c>
      <c r="I114" s="128">
        <v>0.59</v>
      </c>
      <c r="J114" s="128">
        <v>0.52</v>
      </c>
      <c r="K114" s="128">
        <v>0.52</v>
      </c>
      <c r="L114" s="128">
        <v>0.51</v>
      </c>
    </row>
    <row r="115" spans="1:12">
      <c r="A115" s="127">
        <v>201</v>
      </c>
      <c r="B115" s="335"/>
      <c r="C115" s="336"/>
      <c r="D115" s="128">
        <v>86</v>
      </c>
      <c r="E115" s="128">
        <v>43</v>
      </c>
      <c r="F115" s="128">
        <v>83</v>
      </c>
      <c r="G115" s="128">
        <v>0.89</v>
      </c>
      <c r="H115" s="128">
        <v>1.03</v>
      </c>
      <c r="I115" s="128">
        <v>0.56000000000000005</v>
      </c>
      <c r="J115" s="128">
        <v>0.49</v>
      </c>
      <c r="K115" s="128">
        <v>0.49</v>
      </c>
      <c r="L115" s="128">
        <v>0.48</v>
      </c>
    </row>
    <row r="116" spans="1:12">
      <c r="A116" s="119"/>
      <c r="B116" s="129" t="s">
        <v>1746</v>
      </c>
      <c r="C116" s="129"/>
      <c r="D116" s="120"/>
      <c r="E116" s="120"/>
      <c r="F116" s="120"/>
      <c r="G116" s="120"/>
      <c r="H116" s="120"/>
      <c r="I116" s="120"/>
      <c r="J116" s="120"/>
      <c r="K116" s="120"/>
      <c r="L116" s="120"/>
    </row>
    <row r="117" spans="1:12">
      <c r="A117" s="127">
        <v>202</v>
      </c>
      <c r="B117" s="339" t="s">
        <v>15</v>
      </c>
      <c r="C117" s="340"/>
      <c r="D117" s="128">
        <v>91</v>
      </c>
      <c r="E117" s="128">
        <v>36</v>
      </c>
      <c r="F117" s="128">
        <v>31</v>
      </c>
      <c r="G117" s="128">
        <v>0.88</v>
      </c>
      <c r="H117" s="128">
        <v>1.05</v>
      </c>
      <c r="I117" s="128">
        <v>0.68</v>
      </c>
      <c r="J117" s="128">
        <v>0.49</v>
      </c>
      <c r="K117" s="128">
        <v>0.48</v>
      </c>
      <c r="L117" s="128">
        <v>0.48</v>
      </c>
    </row>
    <row r="118" spans="1:12">
      <c r="A118" s="119"/>
      <c r="B118" s="129" t="s">
        <v>6</v>
      </c>
      <c r="C118" s="129"/>
      <c r="D118" s="120"/>
      <c r="E118" s="120"/>
      <c r="F118" s="120"/>
      <c r="G118" s="128"/>
      <c r="H118" s="120"/>
      <c r="I118" s="120"/>
      <c r="J118" s="120"/>
      <c r="K118" s="120"/>
      <c r="L118" s="120"/>
    </row>
    <row r="119" spans="1:12">
      <c r="A119" s="127">
        <v>203</v>
      </c>
      <c r="B119" s="339" t="s">
        <v>7</v>
      </c>
      <c r="C119" s="340"/>
      <c r="D119" s="128">
        <v>101</v>
      </c>
      <c r="E119" s="128">
        <v>31</v>
      </c>
      <c r="F119" s="128">
        <v>37</v>
      </c>
      <c r="G119" s="128">
        <v>0.9</v>
      </c>
      <c r="H119" s="128">
        <v>1.03</v>
      </c>
      <c r="I119" s="128">
        <v>0.56999999999999995</v>
      </c>
      <c r="J119" s="128">
        <v>0.51</v>
      </c>
      <c r="K119" s="128">
        <v>0.5</v>
      </c>
      <c r="L119" s="128">
        <v>0.49</v>
      </c>
    </row>
    <row r="120" spans="1:12">
      <c r="A120" s="127">
        <v>204</v>
      </c>
      <c r="B120" s="335"/>
      <c r="C120" s="336"/>
      <c r="D120" s="128">
        <v>97</v>
      </c>
      <c r="E120" s="128">
        <v>36</v>
      </c>
      <c r="F120" s="128">
        <v>42</v>
      </c>
      <c r="G120" s="128">
        <v>0.84</v>
      </c>
      <c r="H120" s="128">
        <v>1.02</v>
      </c>
      <c r="I120" s="128">
        <v>0.56999999999999995</v>
      </c>
      <c r="J120" s="128">
        <v>0.49</v>
      </c>
      <c r="K120" s="128">
        <v>0.49</v>
      </c>
      <c r="L120" s="128">
        <v>0.5</v>
      </c>
    </row>
    <row r="121" spans="1:12">
      <c r="A121" s="127">
        <v>205</v>
      </c>
      <c r="B121" s="335"/>
      <c r="C121" s="336"/>
      <c r="D121" s="128">
        <v>97</v>
      </c>
      <c r="E121" s="128">
        <v>42</v>
      </c>
      <c r="F121" s="128">
        <v>41</v>
      </c>
      <c r="G121" s="128">
        <v>0.86</v>
      </c>
      <c r="H121" s="128">
        <v>1.02</v>
      </c>
      <c r="I121" s="128">
        <v>0.54</v>
      </c>
      <c r="J121" s="128">
        <v>0.48</v>
      </c>
      <c r="K121" s="128">
        <v>0.48</v>
      </c>
      <c r="L121" s="128">
        <v>0.45</v>
      </c>
    </row>
    <row r="122" spans="1:12">
      <c r="A122" s="127">
        <v>206</v>
      </c>
      <c r="B122" s="335"/>
      <c r="C122" s="336"/>
      <c r="D122" s="128">
        <v>98</v>
      </c>
      <c r="E122" s="128">
        <v>50</v>
      </c>
      <c r="F122" s="128">
        <v>47</v>
      </c>
      <c r="G122" s="128">
        <v>0.89</v>
      </c>
      <c r="H122" s="128">
        <v>1.03</v>
      </c>
      <c r="I122" s="128">
        <v>0.57999999999999996</v>
      </c>
      <c r="J122" s="128">
        <v>0.5</v>
      </c>
      <c r="K122" s="128">
        <v>0.49</v>
      </c>
      <c r="L122" s="128">
        <v>0.49</v>
      </c>
    </row>
    <row r="123" spans="1:12">
      <c r="A123" s="127">
        <v>207</v>
      </c>
      <c r="B123" s="339" t="s">
        <v>1443</v>
      </c>
      <c r="C123" s="340"/>
      <c r="D123" s="128">
        <v>113</v>
      </c>
      <c r="E123" s="128">
        <v>50</v>
      </c>
      <c r="F123" s="128">
        <v>35</v>
      </c>
      <c r="G123" s="128">
        <v>0.82</v>
      </c>
      <c r="H123" s="128">
        <v>1.03</v>
      </c>
      <c r="I123" s="128">
        <v>0.51</v>
      </c>
      <c r="J123" s="128">
        <v>0.46</v>
      </c>
      <c r="K123" s="128">
        <v>0.46</v>
      </c>
      <c r="L123" s="128">
        <v>0.44</v>
      </c>
    </row>
    <row r="124" spans="1:12">
      <c r="A124" s="119"/>
      <c r="B124" s="129" t="s">
        <v>16</v>
      </c>
      <c r="C124" s="129"/>
      <c r="D124" s="120"/>
      <c r="E124" s="120"/>
      <c r="F124" s="120"/>
      <c r="G124" s="120"/>
      <c r="H124" s="120"/>
      <c r="I124" s="120"/>
      <c r="J124" s="120"/>
      <c r="K124" s="120"/>
      <c r="L124" s="120"/>
    </row>
    <row r="125" spans="1:12">
      <c r="A125" s="127">
        <v>208</v>
      </c>
      <c r="B125" s="335"/>
      <c r="C125" s="336"/>
      <c r="D125" s="128">
        <v>119</v>
      </c>
      <c r="E125" s="128">
        <v>29</v>
      </c>
      <c r="F125" s="128">
        <v>32</v>
      </c>
      <c r="G125" s="128">
        <v>0.9</v>
      </c>
      <c r="H125" s="128">
        <v>1.05</v>
      </c>
      <c r="I125" s="128">
        <v>0.61</v>
      </c>
      <c r="J125" s="128">
        <v>0.49</v>
      </c>
      <c r="K125" s="128">
        <v>0.51</v>
      </c>
      <c r="L125" s="128">
        <v>0.5</v>
      </c>
    </row>
    <row r="126" spans="1:12">
      <c r="A126" s="127">
        <v>209</v>
      </c>
      <c r="B126" s="335"/>
      <c r="C126" s="336"/>
      <c r="D126" s="128">
        <v>119</v>
      </c>
      <c r="E126" s="128">
        <v>40</v>
      </c>
      <c r="F126" s="128">
        <v>39</v>
      </c>
      <c r="G126" s="128">
        <v>0.87</v>
      </c>
      <c r="H126" s="128">
        <v>1.07</v>
      </c>
      <c r="I126" s="128">
        <v>0.59</v>
      </c>
      <c r="J126" s="128">
        <v>0.49</v>
      </c>
      <c r="K126" s="128">
        <v>0.47</v>
      </c>
      <c r="L126" s="128">
        <v>0.5</v>
      </c>
    </row>
    <row r="127" spans="1:12">
      <c r="A127" s="127">
        <v>210</v>
      </c>
      <c r="B127" s="335"/>
      <c r="C127" s="336"/>
      <c r="D127" s="128">
        <v>119</v>
      </c>
      <c r="E127" s="128">
        <v>41</v>
      </c>
      <c r="F127" s="128">
        <v>42</v>
      </c>
      <c r="G127" s="128">
        <v>0.87</v>
      </c>
      <c r="H127" s="128">
        <v>1.07</v>
      </c>
      <c r="I127" s="128">
        <v>0.57999999999999996</v>
      </c>
      <c r="J127" s="128">
        <v>0.47</v>
      </c>
      <c r="K127" s="128">
        <v>0.46</v>
      </c>
      <c r="L127" s="128">
        <v>0.47</v>
      </c>
    </row>
    <row r="128" spans="1:12">
      <c r="A128" s="130"/>
    </row>
    <row r="129" spans="1:1">
      <c r="A129" s="130"/>
    </row>
  </sheetData>
  <mergeCells count="98">
    <mergeCell ref="B126:C126"/>
    <mergeCell ref="B127:C127"/>
    <mergeCell ref="B5:C6"/>
    <mergeCell ref="B120:C120"/>
    <mergeCell ref="B121:C121"/>
    <mergeCell ref="B122:C122"/>
    <mergeCell ref="B123:C123"/>
    <mergeCell ref="B114:C114"/>
    <mergeCell ref="B115:C115"/>
    <mergeCell ref="B119:C119"/>
    <mergeCell ref="B125:C125"/>
    <mergeCell ref="B103:C103"/>
    <mergeCell ref="B104:C104"/>
    <mergeCell ref="B105:C105"/>
    <mergeCell ref="B106:C106"/>
    <mergeCell ref="B108:C108"/>
    <mergeCell ref="B92:C92"/>
    <mergeCell ref="B93:C93"/>
    <mergeCell ref="B94:C94"/>
    <mergeCell ref="B95:C95"/>
    <mergeCell ref="B117:C117"/>
    <mergeCell ref="B96:C96"/>
    <mergeCell ref="B97:C97"/>
    <mergeCell ref="B98:C98"/>
    <mergeCell ref="B99:C99"/>
    <mergeCell ref="B100:C100"/>
    <mergeCell ref="B102:C102"/>
    <mergeCell ref="B109:C109"/>
    <mergeCell ref="B110:C110"/>
    <mergeCell ref="B111:C111"/>
    <mergeCell ref="B113:C113"/>
    <mergeCell ref="B85:C85"/>
    <mergeCell ref="B87:C87"/>
    <mergeCell ref="B88:C88"/>
    <mergeCell ref="B89:C89"/>
    <mergeCell ref="B91:C91"/>
    <mergeCell ref="B78:C78"/>
    <mergeCell ref="B82:C82"/>
    <mergeCell ref="B83:C83"/>
    <mergeCell ref="B80:C80"/>
    <mergeCell ref="B84:C84"/>
    <mergeCell ref="B72:C72"/>
    <mergeCell ref="B73:C73"/>
    <mergeCell ref="B74:C74"/>
    <mergeCell ref="B76:C76"/>
    <mergeCell ref="B77:C77"/>
    <mergeCell ref="B65:C65"/>
    <mergeCell ref="B68:C68"/>
    <mergeCell ref="B67:C67"/>
    <mergeCell ref="B69:C69"/>
    <mergeCell ref="B71:C71"/>
    <mergeCell ref="B58:C58"/>
    <mergeCell ref="B60:C60"/>
    <mergeCell ref="B61:C61"/>
    <mergeCell ref="B62:C62"/>
    <mergeCell ref="B64:C64"/>
    <mergeCell ref="B52:C52"/>
    <mergeCell ref="B54:C54"/>
    <mergeCell ref="B55:C55"/>
    <mergeCell ref="B56:C56"/>
    <mergeCell ref="B57:C57"/>
    <mergeCell ref="B46:C46"/>
    <mergeCell ref="B48:C48"/>
    <mergeCell ref="B49:C49"/>
    <mergeCell ref="B50:C50"/>
    <mergeCell ref="B51:C51"/>
    <mergeCell ref="B41:C41"/>
    <mergeCell ref="B42:C42"/>
    <mergeCell ref="B43:C43"/>
    <mergeCell ref="B44:C44"/>
    <mergeCell ref="B45:C45"/>
    <mergeCell ref="B30:C30"/>
    <mergeCell ref="B33:C33"/>
    <mergeCell ref="B36:C36"/>
    <mergeCell ref="B37:C37"/>
    <mergeCell ref="B38:C38"/>
    <mergeCell ref="B24:C24"/>
    <mergeCell ref="B25:C25"/>
    <mergeCell ref="B26:C26"/>
    <mergeCell ref="B28:C28"/>
    <mergeCell ref="B29:C29"/>
    <mergeCell ref="B21:C21"/>
    <mergeCell ref="D5:D6"/>
    <mergeCell ref="B22:C22"/>
    <mergeCell ref="B10:C10"/>
    <mergeCell ref="B11:C11"/>
    <mergeCell ref="B13:C13"/>
    <mergeCell ref="B17:C17"/>
    <mergeCell ref="B18:C18"/>
    <mergeCell ref="B19:C19"/>
    <mergeCell ref="B20:C20"/>
    <mergeCell ref="B14:C14"/>
    <mergeCell ref="B16:C16"/>
    <mergeCell ref="E5:E6"/>
    <mergeCell ref="F5:F6"/>
    <mergeCell ref="B15:C15"/>
    <mergeCell ref="B8:C8"/>
    <mergeCell ref="A5:A6"/>
  </mergeCells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Diagramme</vt:lpstr>
      </vt:variant>
      <vt:variant>
        <vt:i4>6</vt:i4>
      </vt:variant>
    </vt:vector>
  </HeadingPairs>
  <TitlesOfParts>
    <vt:vector size="46" baseType="lpstr">
      <vt:lpstr>Bartsch</vt:lpstr>
      <vt:lpstr>Berninger</vt:lpstr>
      <vt:lpstr>Burger_Tab. 10</vt:lpstr>
      <vt:lpstr>Burger_Tab. 11</vt:lpstr>
      <vt:lpstr>Burger_Tab. 12</vt:lpstr>
      <vt:lpstr>Burger_Tab. 14</vt:lpstr>
      <vt:lpstr>Burger_Tab. 15</vt:lpstr>
      <vt:lpstr>Burger_Tab. 16</vt:lpstr>
      <vt:lpstr>Burger_SplintKern</vt:lpstr>
      <vt:lpstr>Burger_Wassergeh.</vt:lpstr>
      <vt:lpstr>Cannell_KI</vt:lpstr>
      <vt:lpstr>Claesson</vt:lpstr>
      <vt:lpstr>DenglerKI</vt:lpstr>
      <vt:lpstr>Erteld</vt:lpstr>
      <vt:lpstr>Flemes</vt:lpstr>
      <vt:lpstr>Fröhlich_alle</vt:lpstr>
      <vt:lpstr>Hasenauer</vt:lpstr>
      <vt:lpstr>Kallweit</vt:lpstr>
      <vt:lpstr>Künstle&amp;Mitsch.</vt:lpstr>
      <vt:lpstr>Laasasenaho</vt:lpstr>
      <vt:lpstr>Lyr, Hoffm. Dohse</vt:lpstr>
      <vt:lpstr>Lyr, Hoffm., Engel</vt:lpstr>
      <vt:lpstr>Mäkelä1995</vt:lpstr>
      <vt:lpstr>Mamaev</vt:lpstr>
      <vt:lpstr>MamaevII</vt:lpstr>
      <vt:lpstr>Molchanov</vt:lpstr>
      <vt:lpstr>Mencuccini</vt:lpstr>
      <vt:lpstr>Nikinmaa</vt:lpstr>
      <vt:lpstr>Radem.</vt:lpstr>
      <vt:lpstr>Spank</vt:lpstr>
      <vt:lpstr>Toma</vt:lpstr>
      <vt:lpstr>Vanninen</vt:lpstr>
      <vt:lpstr>empirische Formeln</vt:lpstr>
      <vt:lpstr>4C</vt:lpstr>
      <vt:lpstr>$G Grafiken</vt:lpstr>
      <vt:lpstr>Tab. 10cop</vt:lpstr>
      <vt:lpstr>##KrRKI_alle</vt:lpstr>
      <vt:lpstr>##BiomasseSumKI</vt:lpstr>
      <vt:lpstr>##BlattmasseHöheKI</vt:lpstr>
      <vt:lpstr>##BlattmasseHöheKI (2)</vt:lpstr>
      <vt:lpstr>$G h (d)</vt:lpstr>
      <vt:lpstr>schlankheit</vt:lpstr>
      <vt:lpstr>$G h(F) Burger</vt:lpstr>
      <vt:lpstr>h mod vs meas</vt:lpstr>
      <vt:lpstr>rkr(DBH)</vt:lpstr>
      <vt:lpstr>rkr(DBH) res</vt:lpstr>
    </vt:vector>
  </TitlesOfParts>
  <Company>PIK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Hauf</dc:creator>
  <cp:lastModifiedBy>Petra Lasch</cp:lastModifiedBy>
  <cp:lastPrinted>2001-07-20T09:37:36Z</cp:lastPrinted>
  <dcterms:created xsi:type="dcterms:W3CDTF">1999-08-25T08:24:00Z</dcterms:created>
  <dcterms:modified xsi:type="dcterms:W3CDTF">2016-02-24T11:33:10Z</dcterms:modified>
</cp:coreProperties>
</file>