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omments1.xml" ContentType="application/vnd.openxmlformats-officedocument.spreadsheetml.comments+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xml"/>
  <Override PartName="/xl/comments2.xml" ContentType="application/vnd.openxmlformats-officedocument.spreadsheetml.comments+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7.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8.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600" windowWidth="18795" windowHeight="10620" firstSheet="2" activeTab="8"/>
  </bookViews>
  <sheets>
    <sheet name="Inhalt" sheetId="1" r:id="rId1"/>
    <sheet name="Sabate" sheetId="2" r:id="rId2"/>
    <sheet name="Atzmon" sheetId="3" r:id="rId3"/>
    <sheet name="baq-01" sheetId="8" r:id="rId4"/>
    <sheet name="fue-01" sheetId="7" r:id="rId5"/>
    <sheet name="lop-04" sheetId="6" r:id="rId6"/>
    <sheet name="crown_area" sheetId="9" r:id="rId7"/>
    <sheet name="Tabelle1" sheetId="15" r:id="rId8"/>
    <sheet name="lop-05" sheetId="5" r:id="rId9"/>
    <sheet name="lo-04_allometry" sheetId="14" r:id="rId10"/>
    <sheet name="LeThiec" sheetId="10" r:id="rId11"/>
    <sheet name="roy-01" sheetId="4" r:id="rId12"/>
    <sheet name="Growth_comp" sheetId="11" r:id="rId13"/>
    <sheet name="Pausas" sheetId="12" r:id="rId14"/>
    <sheet name="Sardans (2)" sheetId="13" r:id="rId15"/>
  </sheets>
  <definedNames>
    <definedName name="solver_adj" localSheetId="6" hidden="1">crown_area!$E$1:$E$2</definedName>
    <definedName name="solver_cvg" localSheetId="6" hidden="1">0.0001</definedName>
    <definedName name="solver_drv" localSheetId="6" hidden="1">1</definedName>
    <definedName name="solver_est" localSheetId="6" hidden="1">1</definedName>
    <definedName name="solver_itr" localSheetId="6" hidden="1">500</definedName>
    <definedName name="solver_lin" localSheetId="6" hidden="1">2</definedName>
    <definedName name="solver_neg" localSheetId="6" hidden="1">2</definedName>
    <definedName name="solver_num" localSheetId="6" hidden="1">0</definedName>
    <definedName name="solver_nwt" localSheetId="6" hidden="1">1</definedName>
    <definedName name="solver_opt" localSheetId="6" hidden="1">crown_area!$E$36</definedName>
    <definedName name="solver_pre" localSheetId="6" hidden="1">0.000001</definedName>
    <definedName name="solver_scl" localSheetId="6" hidden="1">2</definedName>
    <definedName name="solver_sho" localSheetId="6" hidden="1">2</definedName>
    <definedName name="solver_tim" localSheetId="6" hidden="1">100</definedName>
    <definedName name="solver_tol" localSheetId="6" hidden="1">0.05</definedName>
    <definedName name="solver_typ" localSheetId="6" hidden="1">2</definedName>
    <definedName name="solver_val" localSheetId="6" hidden="1">0</definedName>
  </definedNames>
  <calcPr calcId="145621"/>
</workbook>
</file>

<file path=xl/calcChain.xml><?xml version="1.0" encoding="utf-8"?>
<calcChain xmlns="http://schemas.openxmlformats.org/spreadsheetml/2006/main">
  <c r="E22" i="5" l="1"/>
  <c r="E23" i="5"/>
  <c r="E24" i="5"/>
  <c r="E25" i="5"/>
  <c r="E26" i="5"/>
  <c r="E27" i="5"/>
  <c r="E28" i="5"/>
  <c r="E29" i="5"/>
  <c r="E30" i="5"/>
  <c r="E31" i="5"/>
  <c r="E32" i="5"/>
  <c r="E33" i="5"/>
  <c r="E34" i="5"/>
  <c r="E35" i="5"/>
  <c r="E36" i="5"/>
  <c r="E37" i="5"/>
  <c r="E38" i="5"/>
  <c r="E39" i="5"/>
  <c r="E40" i="5"/>
  <c r="E41" i="5"/>
  <c r="E42" i="5"/>
  <c r="E43" i="5"/>
  <c r="E44" i="5"/>
  <c r="E45" i="5"/>
  <c r="E21" i="5"/>
  <c r="D8" i="15"/>
  <c r="E8" i="15" s="1"/>
  <c r="D12" i="15"/>
  <c r="D13" i="15"/>
  <c r="E13" i="15" s="1"/>
  <c r="D16" i="15"/>
  <c r="E16" i="15" s="1"/>
  <c r="D20" i="15"/>
  <c r="D21" i="15"/>
  <c r="E21" i="15" s="1"/>
  <c r="D24" i="15"/>
  <c r="E24" i="15" s="1"/>
  <c r="D28" i="15"/>
  <c r="D29" i="15"/>
  <c r="E29" i="15" s="1"/>
  <c r="D32" i="15"/>
  <c r="E32" i="15" s="1"/>
  <c r="K6" i="14"/>
  <c r="K10" i="14"/>
  <c r="K14" i="14"/>
  <c r="K18" i="14"/>
  <c r="K22" i="14"/>
  <c r="K26" i="14"/>
  <c r="K30" i="14"/>
  <c r="K4" i="14"/>
  <c r="J8" i="14"/>
  <c r="J12" i="14"/>
  <c r="J16" i="14"/>
  <c r="J20" i="14"/>
  <c r="J24" i="14"/>
  <c r="J28" i="14"/>
  <c r="J32" i="14"/>
  <c r="H5" i="14"/>
  <c r="I5" i="14"/>
  <c r="H6" i="14"/>
  <c r="J6" i="14" s="1"/>
  <c r="I6" i="14"/>
  <c r="H7" i="14"/>
  <c r="I7" i="14"/>
  <c r="H8" i="14"/>
  <c r="K8" i="14" s="1"/>
  <c r="I8" i="14"/>
  <c r="H9" i="14"/>
  <c r="I9" i="14"/>
  <c r="H10" i="14"/>
  <c r="J10" i="14" s="1"/>
  <c r="I10" i="14"/>
  <c r="H11" i="14"/>
  <c r="K11" i="14" s="1"/>
  <c r="I11" i="14"/>
  <c r="H12" i="14"/>
  <c r="K12" i="14" s="1"/>
  <c r="I12" i="14"/>
  <c r="H13" i="14"/>
  <c r="I13" i="14"/>
  <c r="H14" i="14"/>
  <c r="J14" i="14" s="1"/>
  <c r="I14" i="14"/>
  <c r="H15" i="14"/>
  <c r="I15" i="14"/>
  <c r="H16" i="14"/>
  <c r="K16" i="14" s="1"/>
  <c r="I16" i="14"/>
  <c r="H17" i="14"/>
  <c r="I17" i="14"/>
  <c r="H18" i="14"/>
  <c r="J18" i="14" s="1"/>
  <c r="I18" i="14"/>
  <c r="H19" i="14"/>
  <c r="K19" i="14" s="1"/>
  <c r="I19" i="14"/>
  <c r="H20" i="14"/>
  <c r="K20" i="14" s="1"/>
  <c r="I20" i="14"/>
  <c r="H21" i="14"/>
  <c r="I21" i="14"/>
  <c r="H22" i="14"/>
  <c r="J22" i="14" s="1"/>
  <c r="I22" i="14"/>
  <c r="H23" i="14"/>
  <c r="I23" i="14"/>
  <c r="H24" i="14"/>
  <c r="K24" i="14" s="1"/>
  <c r="I24" i="14"/>
  <c r="H25" i="14"/>
  <c r="I25" i="14"/>
  <c r="H26" i="14"/>
  <c r="J26" i="14" s="1"/>
  <c r="I26" i="14"/>
  <c r="H27" i="14"/>
  <c r="K27" i="14" s="1"/>
  <c r="I27" i="14"/>
  <c r="H28" i="14"/>
  <c r="K28" i="14" s="1"/>
  <c r="I28" i="14"/>
  <c r="H29" i="14"/>
  <c r="I29" i="14"/>
  <c r="H30" i="14"/>
  <c r="J30" i="14" s="1"/>
  <c r="I30" i="14"/>
  <c r="H31" i="14"/>
  <c r="I31" i="14"/>
  <c r="H32" i="14"/>
  <c r="K32" i="14" s="1"/>
  <c r="I32" i="14"/>
  <c r="H33" i="14"/>
  <c r="I33" i="14"/>
  <c r="I4" i="14"/>
  <c r="H4" i="14"/>
  <c r="J4" i="14" s="1"/>
  <c r="E6" i="15"/>
  <c r="E14" i="15"/>
  <c r="E22" i="15"/>
  <c r="E30"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6" i="15"/>
  <c r="C8" i="15"/>
  <c r="C9" i="15"/>
  <c r="C10" i="15"/>
  <c r="D10" i="15" s="1"/>
  <c r="E10" i="15" s="1"/>
  <c r="C11" i="15"/>
  <c r="C12" i="15"/>
  <c r="C13" i="15"/>
  <c r="C14" i="15"/>
  <c r="D14" i="15" s="1"/>
  <c r="C15" i="15"/>
  <c r="C16" i="15"/>
  <c r="C17" i="15"/>
  <c r="C18" i="15"/>
  <c r="D18" i="15" s="1"/>
  <c r="E18" i="15" s="1"/>
  <c r="C19" i="15"/>
  <c r="C20" i="15"/>
  <c r="C21" i="15"/>
  <c r="C22" i="15"/>
  <c r="D22" i="15" s="1"/>
  <c r="C23" i="15"/>
  <c r="C24" i="15"/>
  <c r="C25" i="15"/>
  <c r="C26" i="15"/>
  <c r="D26" i="15" s="1"/>
  <c r="E26" i="15" s="1"/>
  <c r="C27" i="15"/>
  <c r="C28" i="15"/>
  <c r="C29" i="15"/>
  <c r="C30" i="15"/>
  <c r="D30" i="15" s="1"/>
  <c r="C31" i="15"/>
  <c r="C32" i="15"/>
  <c r="C7" i="15"/>
  <c r="C6" i="15"/>
  <c r="D6" i="15" s="1"/>
  <c r="B14" i="13"/>
  <c r="B17" i="13"/>
  <c r="B18" i="13"/>
  <c r="E9" i="12"/>
  <c r="G10" i="12"/>
  <c r="G12" i="12"/>
  <c r="H12" i="12"/>
  <c r="H9" i="11"/>
  <c r="H8" i="11"/>
  <c r="H10" i="11"/>
  <c r="I10" i="11" s="1"/>
  <c r="N10" i="11" s="1"/>
  <c r="H11" i="11"/>
  <c r="J11" i="11" s="1"/>
  <c r="O11" i="11" s="1"/>
  <c r="H12" i="11"/>
  <c r="H17" i="11"/>
  <c r="H16" i="11"/>
  <c r="J16" i="11" s="1"/>
  <c r="H18" i="11"/>
  <c r="J18" i="11" s="1"/>
  <c r="P18" i="11" s="1"/>
  <c r="H19" i="11"/>
  <c r="H20" i="11"/>
  <c r="H7" i="11"/>
  <c r="Q6" i="11"/>
  <c r="Q7" i="11"/>
  <c r="I8" i="11"/>
  <c r="Q8" i="11"/>
  <c r="I9" i="11"/>
  <c r="Q9" i="11" s="1"/>
  <c r="Q10" i="11"/>
  <c r="I12" i="11"/>
  <c r="Q12" i="11"/>
  <c r="Q13" i="11"/>
  <c r="Q14" i="11"/>
  <c r="Q15" i="11"/>
  <c r="I16" i="11"/>
  <c r="N16" i="11" s="1"/>
  <c r="Q16" i="11"/>
  <c r="I17" i="11"/>
  <c r="Q17" i="11" s="1"/>
  <c r="I19" i="11"/>
  <c r="Q19" i="11" s="1"/>
  <c r="I20" i="11"/>
  <c r="N20" i="11" s="1"/>
  <c r="Q20" i="11"/>
  <c r="Q5" i="11"/>
  <c r="P6" i="11"/>
  <c r="P7" i="11"/>
  <c r="J8" i="11"/>
  <c r="J9" i="11"/>
  <c r="P9" i="11"/>
  <c r="J10" i="11"/>
  <c r="P10" i="11" s="1"/>
  <c r="J12" i="11"/>
  <c r="P13" i="11"/>
  <c r="P14" i="11"/>
  <c r="P15" i="11"/>
  <c r="J17" i="11"/>
  <c r="O17" i="11" s="1"/>
  <c r="P17" i="11"/>
  <c r="J19" i="11"/>
  <c r="O19" i="11" s="1"/>
  <c r="P19" i="11"/>
  <c r="J20" i="11"/>
  <c r="P20" i="11"/>
  <c r="P5" i="11"/>
  <c r="O6" i="11"/>
  <c r="O7" i="11"/>
  <c r="O9" i="11"/>
  <c r="O10" i="11"/>
  <c r="O13" i="11"/>
  <c r="O14" i="11"/>
  <c r="O15" i="11"/>
  <c r="O20" i="11"/>
  <c r="O5" i="11"/>
  <c r="L9" i="11"/>
  <c r="M9" i="11" s="1"/>
  <c r="L10" i="11"/>
  <c r="M10" i="11"/>
  <c r="L11" i="11"/>
  <c r="M11" i="11" s="1"/>
  <c r="L12" i="11"/>
  <c r="M12" i="11"/>
  <c r="N9" i="11"/>
  <c r="N12" i="11"/>
  <c r="H13" i="11"/>
  <c r="N13" i="11"/>
  <c r="H14" i="11"/>
  <c r="N14" i="11"/>
  <c r="H15" i="11"/>
  <c r="N15" i="11"/>
  <c r="N17" i="11"/>
  <c r="N19" i="11"/>
  <c r="H5" i="11"/>
  <c r="N5" i="11"/>
  <c r="H6" i="11"/>
  <c r="N6" i="11"/>
  <c r="N7" i="11"/>
  <c r="N8" i="11"/>
  <c r="L8" i="11"/>
  <c r="M8" i="11"/>
  <c r="L16" i="11"/>
  <c r="M16" i="11"/>
  <c r="L17" i="11"/>
  <c r="M17" i="11"/>
  <c r="L18" i="11"/>
  <c r="M18" i="11"/>
  <c r="L19" i="11"/>
  <c r="M19" i="11" s="1"/>
  <c r="L20" i="11"/>
  <c r="M20" i="11" s="1"/>
  <c r="G5" i="11"/>
  <c r="K5" i="11"/>
  <c r="L5" i="11"/>
  <c r="G6" i="11"/>
  <c r="K6" i="11"/>
  <c r="L6" i="11"/>
  <c r="G7" i="11"/>
  <c r="K7" i="11"/>
  <c r="L7" i="11"/>
  <c r="G8" i="11"/>
  <c r="K8" i="11"/>
  <c r="G9" i="11"/>
  <c r="K9" i="11"/>
  <c r="G10" i="11"/>
  <c r="K10" i="11"/>
  <c r="G11" i="11"/>
  <c r="K11" i="11"/>
  <c r="G12" i="11"/>
  <c r="K12" i="11"/>
  <c r="G13" i="11"/>
  <c r="K13" i="11"/>
  <c r="L13" i="11"/>
  <c r="G14" i="11"/>
  <c r="K14" i="11"/>
  <c r="L14" i="11"/>
  <c r="G15" i="11"/>
  <c r="K15" i="11"/>
  <c r="L15" i="11"/>
  <c r="G16" i="11"/>
  <c r="K16" i="11"/>
  <c r="G17" i="11"/>
  <c r="K17" i="11"/>
  <c r="G18" i="11"/>
  <c r="K18" i="11"/>
  <c r="G19" i="11"/>
  <c r="K19" i="11"/>
  <c r="G20" i="11"/>
  <c r="K20" i="11"/>
  <c r="E8" i="10"/>
  <c r="H8" i="10" s="1"/>
  <c r="E9" i="10"/>
  <c r="H9" i="10" s="1"/>
  <c r="E10" i="10"/>
  <c r="E11" i="10"/>
  <c r="H11" i="10" s="1"/>
  <c r="E12" i="10"/>
  <c r="G12" i="10" s="1"/>
  <c r="H12" i="10"/>
  <c r="E7" i="10"/>
  <c r="H7" i="10" s="1"/>
  <c r="G9" i="10"/>
  <c r="G11" i="10"/>
  <c r="G7" i="10"/>
  <c r="C8" i="10"/>
  <c r="C9" i="10"/>
  <c r="C10" i="10"/>
  <c r="C11" i="10"/>
  <c r="C12" i="10"/>
  <c r="C7" i="10"/>
  <c r="D31" i="8"/>
  <c r="E31" i="8" s="1"/>
  <c r="D30" i="8"/>
  <c r="E30" i="8"/>
  <c r="C31" i="8"/>
  <c r="F31" i="8" s="1"/>
  <c r="G31" i="8" s="1"/>
  <c r="C30" i="8"/>
  <c r="F30" i="8"/>
  <c r="G30" i="8" s="1"/>
  <c r="I15" i="4"/>
  <c r="I16" i="4"/>
  <c r="I17" i="4"/>
  <c r="I10" i="4"/>
  <c r="J10" i="4" s="1"/>
  <c r="I11" i="4"/>
  <c r="I12" i="4"/>
  <c r="I13" i="4"/>
  <c r="J13" i="4" s="1"/>
  <c r="I14" i="4"/>
  <c r="J14" i="4" s="1"/>
  <c r="I9" i="4"/>
  <c r="J11" i="4"/>
  <c r="J12" i="4"/>
  <c r="J9" i="4"/>
  <c r="B31" i="8"/>
  <c r="B30" i="8"/>
  <c r="D6" i="9"/>
  <c r="C6" i="9"/>
  <c r="E6" i="9" s="1"/>
  <c r="D7" i="9"/>
  <c r="C7" i="9"/>
  <c r="E7" i="9"/>
  <c r="D8" i="9"/>
  <c r="E8" i="9" s="1"/>
  <c r="C8" i="9"/>
  <c r="D9" i="9"/>
  <c r="C9" i="9"/>
  <c r="D10" i="9"/>
  <c r="C10" i="9"/>
  <c r="E10" i="9"/>
  <c r="D11" i="9"/>
  <c r="C11" i="9"/>
  <c r="E11" i="9"/>
  <c r="D12" i="9"/>
  <c r="C12" i="9"/>
  <c r="D13" i="9"/>
  <c r="C13" i="9"/>
  <c r="E13" i="9" s="1"/>
  <c r="D14" i="9"/>
  <c r="C14" i="9"/>
  <c r="E14" i="9" s="1"/>
  <c r="D15" i="9"/>
  <c r="C15" i="9"/>
  <c r="E15" i="9"/>
  <c r="D16" i="9"/>
  <c r="C16" i="9"/>
  <c r="E16" i="9" s="1"/>
  <c r="D17" i="9"/>
  <c r="C17" i="9"/>
  <c r="D18" i="9"/>
  <c r="C18" i="9"/>
  <c r="E18" i="9"/>
  <c r="D19" i="9"/>
  <c r="C19" i="9"/>
  <c r="E19" i="9"/>
  <c r="D20" i="9"/>
  <c r="C20" i="9"/>
  <c r="D21" i="9"/>
  <c r="C21" i="9"/>
  <c r="E21" i="9" s="1"/>
  <c r="D22" i="9"/>
  <c r="C22" i="9"/>
  <c r="E22" i="9" s="1"/>
  <c r="D23" i="9"/>
  <c r="C23" i="9"/>
  <c r="E23" i="9"/>
  <c r="D24" i="9"/>
  <c r="C24" i="9"/>
  <c r="E24" i="9" s="1"/>
  <c r="D25" i="9"/>
  <c r="C25" i="9"/>
  <c r="D26" i="9"/>
  <c r="C26" i="9"/>
  <c r="E26" i="9"/>
  <c r="D27" i="9"/>
  <c r="C27" i="9"/>
  <c r="E27" i="9"/>
  <c r="D28" i="9"/>
  <c r="C28" i="9"/>
  <c r="D29" i="9"/>
  <c r="C29" i="9"/>
  <c r="E29" i="9" s="1"/>
  <c r="D30" i="9"/>
  <c r="C30" i="9"/>
  <c r="E30" i="9" s="1"/>
  <c r="D31" i="9"/>
  <c r="C31" i="9"/>
  <c r="E31" i="9"/>
  <c r="D32" i="9"/>
  <c r="C32" i="9"/>
  <c r="E32" i="9" s="1"/>
  <c r="D33" i="9"/>
  <c r="C33" i="9"/>
  <c r="D34" i="9"/>
  <c r="C34" i="9"/>
  <c r="E34" i="9"/>
  <c r="D35" i="9"/>
  <c r="C35" i="9"/>
  <c r="E35" i="9"/>
  <c r="C36" i="3"/>
  <c r="D36" i="3" s="1"/>
  <c r="C35" i="3"/>
  <c r="D35" i="3"/>
  <c r="C34" i="3"/>
  <c r="D34" i="3" s="1"/>
  <c r="C33" i="3"/>
  <c r="D33" i="3" s="1"/>
  <c r="F15" i="8"/>
  <c r="F22" i="8"/>
  <c r="D42" i="6"/>
  <c r="E42" i="6" s="1"/>
  <c r="D43" i="6"/>
  <c r="E43" i="6"/>
  <c r="D44" i="6"/>
  <c r="E44" i="6" s="1"/>
  <c r="D45" i="6"/>
  <c r="E45" i="6"/>
  <c r="D46" i="6"/>
  <c r="E46" i="6" s="1"/>
  <c r="D47" i="6"/>
  <c r="E47" i="6"/>
  <c r="D48" i="6"/>
  <c r="E48" i="6" s="1"/>
  <c r="R9" i="6"/>
  <c r="R10" i="6"/>
  <c r="R11" i="6"/>
  <c r="R12" i="6"/>
  <c r="R13" i="6"/>
  <c r="R14" i="6"/>
  <c r="R15" i="6"/>
  <c r="V10" i="6"/>
  <c r="V11" i="6"/>
  <c r="V12" i="6"/>
  <c r="V13" i="6"/>
  <c r="V14" i="6"/>
  <c r="V15" i="6"/>
  <c r="V16" i="6"/>
  <c r="V17" i="6"/>
  <c r="V18" i="6"/>
  <c r="V19" i="6"/>
  <c r="V20" i="6"/>
  <c r="V21" i="6"/>
  <c r="V22" i="6"/>
  <c r="V23" i="6"/>
  <c r="V24" i="6"/>
  <c r="V25" i="6"/>
  <c r="V26" i="6"/>
  <c r="V27" i="6"/>
  <c r="V28" i="6"/>
  <c r="V29" i="6"/>
  <c r="V30" i="6"/>
  <c r="V31" i="6"/>
  <c r="V32" i="6"/>
  <c r="V33" i="6"/>
  <c r="V34" i="6"/>
  <c r="V35" i="6"/>
  <c r="V36" i="6"/>
  <c r="V37" i="6"/>
  <c r="V38" i="6"/>
  <c r="V9" i="6"/>
  <c r="D16" i="6"/>
  <c r="E16" i="6"/>
  <c r="F16" i="6"/>
  <c r="G16" i="6"/>
  <c r="H16" i="6"/>
  <c r="I16" i="6"/>
  <c r="J16" i="6"/>
  <c r="K16" i="6"/>
  <c r="L16" i="6"/>
  <c r="M16" i="6"/>
  <c r="N16" i="6"/>
  <c r="O16" i="6"/>
  <c r="P16" i="6"/>
  <c r="Q16" i="6"/>
  <c r="S16" i="6"/>
  <c r="T16" i="6"/>
  <c r="C16" i="6"/>
  <c r="B53" i="5"/>
  <c r="C53" i="5"/>
  <c r="B54" i="5"/>
  <c r="D54" i="5" s="1"/>
  <c r="C54" i="5"/>
  <c r="B55" i="5"/>
  <c r="C55" i="5"/>
  <c r="B56" i="5"/>
  <c r="D56" i="5" s="1"/>
  <c r="C56" i="5"/>
  <c r="B57" i="5"/>
  <c r="C57" i="5"/>
  <c r="B58" i="5"/>
  <c r="D58" i="5" s="1"/>
  <c r="C58" i="5"/>
  <c r="B59" i="5"/>
  <c r="C59" i="5"/>
  <c r="B60" i="5"/>
  <c r="D60" i="5" s="1"/>
  <c r="C60" i="5"/>
  <c r="B61" i="5"/>
  <c r="C61" i="5"/>
  <c r="B62" i="5"/>
  <c r="D62" i="5" s="1"/>
  <c r="C62" i="5"/>
  <c r="B63" i="5"/>
  <c r="C63" i="5"/>
  <c r="B64" i="5"/>
  <c r="D64" i="5" s="1"/>
  <c r="C64" i="5"/>
  <c r="B65" i="5"/>
  <c r="C65" i="5"/>
  <c r="B66" i="5"/>
  <c r="D66" i="5" s="1"/>
  <c r="C66" i="5"/>
  <c r="B67" i="5"/>
  <c r="C67" i="5"/>
  <c r="B68" i="5"/>
  <c r="D68" i="5" s="1"/>
  <c r="C68" i="5"/>
  <c r="B69" i="5"/>
  <c r="C69" i="5"/>
  <c r="B70" i="5"/>
  <c r="D70" i="5" s="1"/>
  <c r="C70" i="5"/>
  <c r="B71" i="5"/>
  <c r="C71" i="5"/>
  <c r="B72" i="5"/>
  <c r="D72" i="5" s="1"/>
  <c r="C72" i="5"/>
  <c r="B73" i="5"/>
  <c r="C73" i="5"/>
  <c r="B52" i="5"/>
  <c r="D52" i="5" s="1"/>
  <c r="C52" i="5"/>
  <c r="B50" i="5"/>
  <c r="C50" i="5"/>
  <c r="B51" i="5"/>
  <c r="C51" i="5" s="1"/>
  <c r="B49" i="5"/>
  <c r="C49" i="5"/>
  <c r="D22" i="5"/>
  <c r="G22" i="5" s="1"/>
  <c r="D23" i="5"/>
  <c r="G23" i="5"/>
  <c r="D24" i="5"/>
  <c r="G24" i="5" s="1"/>
  <c r="D25" i="5"/>
  <c r="G25" i="5"/>
  <c r="D26" i="5"/>
  <c r="G26" i="5" s="1"/>
  <c r="D27" i="5"/>
  <c r="G27" i="5"/>
  <c r="D28" i="5"/>
  <c r="G28" i="5" s="1"/>
  <c r="D29" i="5"/>
  <c r="G29" i="5"/>
  <c r="D30" i="5"/>
  <c r="G30" i="5" s="1"/>
  <c r="D31" i="5"/>
  <c r="G31" i="5"/>
  <c r="D32" i="5"/>
  <c r="G32" i="5" s="1"/>
  <c r="D33" i="5"/>
  <c r="G33" i="5"/>
  <c r="D34" i="5"/>
  <c r="G34" i="5" s="1"/>
  <c r="D35" i="5"/>
  <c r="G35" i="5"/>
  <c r="D36" i="5"/>
  <c r="G36" i="5" s="1"/>
  <c r="D37" i="5"/>
  <c r="G37" i="5"/>
  <c r="D38" i="5"/>
  <c r="G38" i="5" s="1"/>
  <c r="D39" i="5"/>
  <c r="G39" i="5"/>
  <c r="D40" i="5"/>
  <c r="G40" i="5" s="1"/>
  <c r="D41" i="5"/>
  <c r="G41" i="5"/>
  <c r="D42" i="5"/>
  <c r="G42" i="5" s="1"/>
  <c r="D43" i="5"/>
  <c r="G43" i="5"/>
  <c r="D44" i="5"/>
  <c r="G44" i="5" s="1"/>
  <c r="D45" i="5"/>
  <c r="G45" i="5"/>
  <c r="D21" i="5"/>
  <c r="G21" i="5" s="1"/>
  <c r="G46" i="5" s="1"/>
  <c r="C22" i="5"/>
  <c r="C23" i="5"/>
  <c r="C24" i="5"/>
  <c r="C25" i="5"/>
  <c r="C26" i="5"/>
  <c r="C27" i="5"/>
  <c r="C28" i="5"/>
  <c r="C29" i="5"/>
  <c r="C30" i="5"/>
  <c r="C31" i="5"/>
  <c r="C32" i="5"/>
  <c r="C33" i="5"/>
  <c r="C34" i="5"/>
  <c r="C35" i="5"/>
  <c r="C36" i="5"/>
  <c r="C37" i="5"/>
  <c r="C38" i="5"/>
  <c r="C39" i="5"/>
  <c r="C40" i="5"/>
  <c r="C41" i="5"/>
  <c r="C42" i="5"/>
  <c r="C43" i="5"/>
  <c r="C44" i="5"/>
  <c r="C45" i="5"/>
  <c r="C21" i="5"/>
  <c r="F31" i="2"/>
  <c r="F30" i="2"/>
  <c r="G23" i="2"/>
  <c r="F23" i="2"/>
  <c r="G20" i="2"/>
  <c r="F20" i="2"/>
  <c r="G16" i="2"/>
  <c r="F16" i="2"/>
  <c r="G12" i="2"/>
  <c r="F12" i="2"/>
  <c r="G9" i="2"/>
  <c r="F9" i="2"/>
  <c r="D23" i="2"/>
  <c r="D22" i="2"/>
  <c r="D20" i="2"/>
  <c r="D18" i="2"/>
  <c r="D16" i="2"/>
  <c r="D14" i="2"/>
  <c r="D12" i="2"/>
  <c r="C23" i="2"/>
  <c r="C22" i="2"/>
  <c r="C20" i="2"/>
  <c r="C18" i="2"/>
  <c r="C16" i="2"/>
  <c r="C14" i="2"/>
  <c r="C12" i="2"/>
  <c r="C9" i="2"/>
  <c r="D9" i="2"/>
  <c r="C4" i="14"/>
  <c r="D4" i="14" s="1"/>
  <c r="B4" i="14"/>
  <c r="C5" i="14"/>
  <c r="D5" i="14" s="1"/>
  <c r="B5" i="14"/>
  <c r="C6" i="14"/>
  <c r="B6" i="14"/>
  <c r="D6" i="14"/>
  <c r="C7" i="14"/>
  <c r="B7" i="14"/>
  <c r="D7" i="14"/>
  <c r="C8" i="14"/>
  <c r="D8" i="14" s="1"/>
  <c r="B8" i="14"/>
  <c r="C9" i="14"/>
  <c r="B9" i="14"/>
  <c r="C10" i="14"/>
  <c r="B10" i="14"/>
  <c r="D10" i="14"/>
  <c r="C11" i="14"/>
  <c r="B11" i="14"/>
  <c r="D11" i="14"/>
  <c r="C12" i="14"/>
  <c r="D12" i="14" s="1"/>
  <c r="B12" i="14"/>
  <c r="C13" i="14"/>
  <c r="D13" i="14" s="1"/>
  <c r="B13" i="14"/>
  <c r="C14" i="14"/>
  <c r="B14" i="14"/>
  <c r="D14" i="14"/>
  <c r="C15" i="14"/>
  <c r="B15" i="14"/>
  <c r="D15" i="14"/>
  <c r="C16" i="14"/>
  <c r="D16" i="14" s="1"/>
  <c r="B16" i="14"/>
  <c r="C17" i="14"/>
  <c r="B17" i="14"/>
  <c r="C18" i="14"/>
  <c r="B18" i="14"/>
  <c r="D18" i="14"/>
  <c r="C19" i="14"/>
  <c r="B19" i="14"/>
  <c r="D19" i="14"/>
  <c r="C20" i="14"/>
  <c r="D20" i="14" s="1"/>
  <c r="B20" i="14"/>
  <c r="C21" i="14"/>
  <c r="D21" i="14" s="1"/>
  <c r="B21" i="14"/>
  <c r="C22" i="14"/>
  <c r="B22" i="14"/>
  <c r="D22" i="14"/>
  <c r="C23" i="14"/>
  <c r="B23" i="14"/>
  <c r="D23" i="14"/>
  <c r="C24" i="14"/>
  <c r="D24" i="14" s="1"/>
  <c r="B24" i="14"/>
  <c r="C25" i="14"/>
  <c r="B25" i="14"/>
  <c r="C26" i="14"/>
  <c r="B26" i="14"/>
  <c r="D26" i="14"/>
  <c r="C27" i="14"/>
  <c r="B27" i="14"/>
  <c r="D27" i="14"/>
  <c r="C28" i="14"/>
  <c r="D28" i="14" s="1"/>
  <c r="B28" i="14"/>
  <c r="C29" i="14"/>
  <c r="D29" i="14" s="1"/>
  <c r="B29" i="14"/>
  <c r="C30" i="14"/>
  <c r="B30" i="14"/>
  <c r="D30" i="14"/>
  <c r="C31" i="14"/>
  <c r="B31" i="14"/>
  <c r="D31" i="14"/>
  <c r="C32" i="14"/>
  <c r="D32" i="14" s="1"/>
  <c r="B32" i="14"/>
  <c r="C33" i="14"/>
  <c r="B33" i="14"/>
  <c r="J31" i="14" l="1"/>
  <c r="K31" i="14"/>
  <c r="K23" i="14"/>
  <c r="J23" i="14"/>
  <c r="J21" i="14"/>
  <c r="K21" i="14"/>
  <c r="J17" i="14"/>
  <c r="K17" i="14"/>
  <c r="K7" i="14"/>
  <c r="J7" i="14"/>
  <c r="J5" i="14"/>
  <c r="J34" i="14" s="1"/>
  <c r="K5" i="14"/>
  <c r="D73" i="5"/>
  <c r="D69" i="5"/>
  <c r="E69" i="5" s="1"/>
  <c r="D65" i="5"/>
  <c r="E65" i="5" s="1"/>
  <c r="D61" i="5"/>
  <c r="D59" i="5"/>
  <c r="D53" i="5"/>
  <c r="E53" i="5" s="1"/>
  <c r="E49" i="6"/>
  <c r="J11" i="14"/>
  <c r="D33" i="14"/>
  <c r="D25" i="14"/>
  <c r="D17" i="14"/>
  <c r="D34" i="14" s="1"/>
  <c r="D9" i="14"/>
  <c r="J19" i="14"/>
  <c r="J33" i="14"/>
  <c r="K33" i="14"/>
  <c r="J29" i="14"/>
  <c r="K29" i="14"/>
  <c r="J25" i="14"/>
  <c r="K25" i="14"/>
  <c r="J15" i="14"/>
  <c r="K15" i="14"/>
  <c r="J13" i="14"/>
  <c r="K13" i="14"/>
  <c r="J9" i="14"/>
  <c r="K9" i="14"/>
  <c r="D71" i="5"/>
  <c r="D67" i="5"/>
  <c r="D63" i="5"/>
  <c r="D57" i="5"/>
  <c r="D55" i="5"/>
  <c r="R16" i="6"/>
  <c r="G10" i="10"/>
  <c r="H10" i="10"/>
  <c r="J27" i="14"/>
  <c r="K34" i="14"/>
  <c r="K35" i="14" s="1"/>
  <c r="E52" i="5"/>
  <c r="E73" i="5"/>
  <c r="E72" i="5"/>
  <c r="E71" i="5"/>
  <c r="E70" i="5"/>
  <c r="E68" i="5"/>
  <c r="E67" i="5"/>
  <c r="E66" i="5"/>
  <c r="E64" i="5"/>
  <c r="E63" i="5"/>
  <c r="E62" i="5"/>
  <c r="E61" i="5"/>
  <c r="E60" i="5"/>
  <c r="E59" i="5"/>
  <c r="E58" i="5"/>
  <c r="E57" i="5"/>
  <c r="E56" i="5"/>
  <c r="E55" i="5"/>
  <c r="E54" i="5"/>
  <c r="G8" i="10"/>
  <c r="O18" i="11"/>
  <c r="P11" i="11"/>
  <c r="P8" i="11"/>
  <c r="O8" i="11"/>
  <c r="I18" i="11"/>
  <c r="P16" i="11"/>
  <c r="O16" i="11"/>
  <c r="D7" i="15"/>
  <c r="E7" i="15" s="1"/>
  <c r="E33" i="15" s="1"/>
  <c r="E28" i="15"/>
  <c r="E20" i="15"/>
  <c r="E12" i="15"/>
  <c r="P12" i="11"/>
  <c r="O12" i="11"/>
  <c r="G9" i="12"/>
  <c r="G11" i="12"/>
  <c r="H9" i="12"/>
  <c r="H11" i="12"/>
  <c r="E33" i="9"/>
  <c r="E28" i="9"/>
  <c r="E25" i="9"/>
  <c r="E20" i="9"/>
  <c r="E17" i="9"/>
  <c r="E36" i="9" s="1"/>
  <c r="E12" i="9"/>
  <c r="E9" i="9"/>
  <c r="I11" i="11"/>
  <c r="H10" i="12"/>
  <c r="D25" i="15"/>
  <c r="E25" i="15" s="1"/>
  <c r="D17" i="15"/>
  <c r="E17" i="15" s="1"/>
  <c r="D9" i="15"/>
  <c r="E9" i="15" s="1"/>
  <c r="D31" i="15"/>
  <c r="E31" i="15" s="1"/>
  <c r="D27" i="15"/>
  <c r="E27" i="15" s="1"/>
  <c r="D23" i="15"/>
  <c r="E23" i="15" s="1"/>
  <c r="D19" i="15"/>
  <c r="E19" i="15" s="1"/>
  <c r="D15" i="15"/>
  <c r="E15" i="15" s="1"/>
  <c r="D11" i="15"/>
  <c r="E11" i="15" s="1"/>
  <c r="I21" i="5" l="1"/>
  <c r="F10" i="15"/>
  <c r="G10" i="15" s="1"/>
  <c r="F8" i="15"/>
  <c r="G8" i="15" s="1"/>
  <c r="F12" i="15"/>
  <c r="G12" i="15" s="1"/>
  <c r="F16" i="15"/>
  <c r="G16" i="15" s="1"/>
  <c r="F20" i="15"/>
  <c r="G20" i="15" s="1"/>
  <c r="F24" i="15"/>
  <c r="G24" i="15" s="1"/>
  <c r="F28" i="15"/>
  <c r="G28" i="15" s="1"/>
  <c r="F32" i="15"/>
  <c r="G32" i="15" s="1"/>
  <c r="F6" i="15"/>
  <c r="G6" i="15" s="1"/>
  <c r="F14" i="15"/>
  <c r="G14" i="15" s="1"/>
  <c r="F18" i="15"/>
  <c r="G18" i="15" s="1"/>
  <c r="F22" i="15"/>
  <c r="G22" i="15" s="1"/>
  <c r="F26" i="15"/>
  <c r="G26" i="15" s="1"/>
  <c r="F30" i="15"/>
  <c r="G30" i="15" s="1"/>
  <c r="F23" i="15"/>
  <c r="G23" i="15" s="1"/>
  <c r="F29" i="15"/>
  <c r="G29" i="15" s="1"/>
  <c r="F13" i="15"/>
  <c r="G13" i="15" s="1"/>
  <c r="F7" i="15"/>
  <c r="G7" i="15" s="1"/>
  <c r="F27" i="15"/>
  <c r="G27" i="15" s="1"/>
  <c r="F11" i="15"/>
  <c r="G11" i="15" s="1"/>
  <c r="F19" i="15"/>
  <c r="G19" i="15" s="1"/>
  <c r="F25" i="15"/>
  <c r="G25" i="15" s="1"/>
  <c r="F9" i="15"/>
  <c r="G9" i="15" s="1"/>
  <c r="F31" i="15"/>
  <c r="G31" i="15" s="1"/>
  <c r="F15" i="15"/>
  <c r="G15" i="15" s="1"/>
  <c r="F21" i="15"/>
  <c r="G21" i="15" s="1"/>
  <c r="F17" i="15"/>
  <c r="G17" i="15" s="1"/>
  <c r="Q11" i="11"/>
  <c r="N11" i="11"/>
  <c r="Q18" i="11"/>
  <c r="N18" i="11"/>
  <c r="F21" i="5" l="1"/>
  <c r="H21" i="5" s="1"/>
  <c r="F23" i="5"/>
  <c r="H23" i="5" s="1"/>
  <c r="F25" i="5"/>
  <c r="H25" i="5" s="1"/>
  <c r="F27" i="5"/>
  <c r="H27" i="5" s="1"/>
  <c r="F29" i="5"/>
  <c r="H29" i="5" s="1"/>
  <c r="F31" i="5"/>
  <c r="H31" i="5" s="1"/>
  <c r="F33" i="5"/>
  <c r="H33" i="5" s="1"/>
  <c r="F35" i="5"/>
  <c r="H35" i="5" s="1"/>
  <c r="F37" i="5"/>
  <c r="H37" i="5" s="1"/>
  <c r="F39" i="5"/>
  <c r="H39" i="5" s="1"/>
  <c r="F41" i="5"/>
  <c r="H41" i="5" s="1"/>
  <c r="F43" i="5"/>
  <c r="H43" i="5" s="1"/>
  <c r="F45" i="5"/>
  <c r="H45" i="5" s="1"/>
  <c r="F28" i="5"/>
  <c r="H28" i="5" s="1"/>
  <c r="F32" i="5"/>
  <c r="H32" i="5" s="1"/>
  <c r="F36" i="5"/>
  <c r="H36" i="5" s="1"/>
  <c r="F40" i="5"/>
  <c r="H40" i="5" s="1"/>
  <c r="F44" i="5"/>
  <c r="H44" i="5" s="1"/>
  <c r="F22" i="5"/>
  <c r="H22" i="5" s="1"/>
  <c r="F26" i="5"/>
  <c r="H26" i="5" s="1"/>
  <c r="F30" i="5"/>
  <c r="H30" i="5" s="1"/>
  <c r="F34" i="5"/>
  <c r="H34" i="5" s="1"/>
  <c r="F38" i="5"/>
  <c r="H38" i="5" s="1"/>
  <c r="F42" i="5"/>
  <c r="H42" i="5" s="1"/>
  <c r="F24" i="5"/>
  <c r="H24" i="5" s="1"/>
  <c r="G33" i="15"/>
  <c r="H46" i="5" l="1"/>
</calcChain>
</file>

<file path=xl/comments1.xml><?xml version="1.0" encoding="utf-8"?>
<comments xmlns="http://schemas.openxmlformats.org/spreadsheetml/2006/main">
  <authors>
    <author>lasch</author>
  </authors>
  <commentList>
    <comment ref="C5" authorId="0">
      <text>
        <r>
          <rPr>
            <b/>
            <sz val="8"/>
            <color indexed="81"/>
            <rFont val="Tahoma"/>
            <family val="2"/>
          </rPr>
          <t>lasch:</t>
        </r>
        <r>
          <rPr>
            <sz val="8"/>
            <color indexed="81"/>
            <rFont val="Tahoma"/>
            <family val="2"/>
          </rPr>
          <t xml:space="preserve">
Funktion nach lo_05</t>
        </r>
      </text>
    </comment>
  </commentList>
</comments>
</file>

<file path=xl/comments2.xml><?xml version="1.0" encoding="utf-8"?>
<comments xmlns="http://schemas.openxmlformats.org/spreadsheetml/2006/main">
  <authors>
    <author>lasch</author>
  </authors>
  <commentList>
    <comment ref="H5" authorId="0">
      <text>
        <r>
          <rPr>
            <b/>
            <sz val="8"/>
            <color indexed="81"/>
            <rFont val="Tahoma"/>
            <family val="2"/>
          </rPr>
          <t>lasch:</t>
        </r>
        <r>
          <rPr>
            <sz val="8"/>
            <color indexed="81"/>
            <rFont val="Tahoma"/>
            <family val="2"/>
          </rPr>
          <t xml:space="preserve">
fit ohne daten von baq
</t>
        </r>
      </text>
    </comment>
  </commentList>
</comments>
</file>

<file path=xl/sharedStrings.xml><?xml version="1.0" encoding="utf-8"?>
<sst xmlns="http://schemas.openxmlformats.org/spreadsheetml/2006/main" count="334" uniqueCount="263">
  <si>
    <t>Inhalt</t>
  </si>
  <si>
    <t>Sabate, S. et al (2002)</t>
  </si>
  <si>
    <t>sab-01</t>
  </si>
  <si>
    <t>stand density, crown radii, volume</t>
  </si>
  <si>
    <t>Sabate, S., Gracia, C. A., Sanchez, A. (2002): Likely effects of climate change on growth of Quercus ilex, Pinus halepensis, Pinus pinaster, Pinus sylvestris and Fagus sylvatica forests in the Mediterranean region. FEM 162:23 - 37</t>
  </si>
  <si>
    <t>Table 3: Management</t>
  </si>
  <si>
    <t>stand age</t>
  </si>
  <si>
    <t>20 yr</t>
  </si>
  <si>
    <t>40yr</t>
  </si>
  <si>
    <t>Standing trees left with thinning intervals of:</t>
  </si>
  <si>
    <t>crown area</t>
  </si>
  <si>
    <t>crown radius</t>
  </si>
  <si>
    <t>Table 4: LAI, Mean Leaf Life Span</t>
  </si>
  <si>
    <t>stand</t>
  </si>
  <si>
    <t>LAI</t>
  </si>
  <si>
    <t>SD_LAI</t>
  </si>
  <si>
    <t>MLLS</t>
  </si>
  <si>
    <t>SD_MLLS</t>
  </si>
  <si>
    <t>senescence rate</t>
  </si>
  <si>
    <t>S14</t>
  </si>
  <si>
    <t>Ginosa</t>
  </si>
  <si>
    <t>Atzmon et al. (2004)</t>
  </si>
  <si>
    <t>atz - 01</t>
  </si>
  <si>
    <t>drought, water use, D / H, photosynthesis</t>
  </si>
  <si>
    <t>Atzmon, N., Moshe, Y., Schiller, G. (2004): Ecophysiological response to severe drought in Pinus halepensis Mill. trees of two provenances. Plant Ecology 171:15 - 22</t>
  </si>
  <si>
    <t>Table 4:</t>
  </si>
  <si>
    <t>Provenance</t>
  </si>
  <si>
    <t>Diameter and Height of provenances before and after drought</t>
  </si>
  <si>
    <t>DBH (cm)</t>
  </si>
  <si>
    <t>H (m)</t>
  </si>
  <si>
    <t>Telagh</t>
  </si>
  <si>
    <t>Elea</t>
  </si>
  <si>
    <t>Mt. Carmel</t>
  </si>
  <si>
    <t>Bet J'ann</t>
  </si>
  <si>
    <t>Otricoli</t>
  </si>
  <si>
    <t>Table 5: Transpiration, photosynthesis and water use efficiency</t>
  </si>
  <si>
    <t>Site:</t>
  </si>
  <si>
    <t>Transp. (mmol m-2s-1)</t>
  </si>
  <si>
    <t>Photos. (ymol m-2s-1)</t>
  </si>
  <si>
    <t>Yatir</t>
  </si>
  <si>
    <t>Site =</t>
  </si>
  <si>
    <t>Bet Dagan</t>
  </si>
  <si>
    <t>Figure 4: average transpiration as related to trunc circumference</t>
  </si>
  <si>
    <t>circumference</t>
  </si>
  <si>
    <t>diameter o.B.</t>
  </si>
  <si>
    <t>diameter u.B.</t>
  </si>
  <si>
    <t>transp. (l day-1)</t>
  </si>
  <si>
    <t>Table 1: Water content ....</t>
  </si>
  <si>
    <t>Water content:</t>
  </si>
  <si>
    <t>roots (n=6)</t>
  </si>
  <si>
    <t>leaves (n=18)</t>
  </si>
  <si>
    <t>shoots (n=6)</t>
  </si>
  <si>
    <t>SLA (mm2 mg-1)</t>
  </si>
  <si>
    <t>Leaf area (cm2)</t>
  </si>
  <si>
    <t>Plant (n=6):</t>
  </si>
  <si>
    <t>height (cm)</t>
  </si>
  <si>
    <t>root length (cm)</t>
  </si>
  <si>
    <t>stem diam. (cm)</t>
  </si>
  <si>
    <t>total leaf area (cm2)</t>
  </si>
  <si>
    <t>leaf biomass (g)</t>
  </si>
  <si>
    <t>shoot biomass (g)</t>
  </si>
  <si>
    <t>root biom. (g)</t>
  </si>
  <si>
    <t>plant biom. (g)</t>
  </si>
  <si>
    <t>leaf-weight ratio</t>
  </si>
  <si>
    <t>water stress</t>
  </si>
  <si>
    <t>control</t>
  </si>
  <si>
    <t>SD</t>
  </si>
  <si>
    <t>seedlings, 3 years old</t>
  </si>
  <si>
    <t>pnus(control, kg cm-2)</t>
  </si>
  <si>
    <t>Leaf (n=18)</t>
  </si>
  <si>
    <t>in m2 kg-1:</t>
  </si>
  <si>
    <t xml:space="preserve">Baquedano FJ, Castillo FJ (2006) Comparative ecophysiological effects of drought on seedlings of the Mediterranean water-saver Pinus halepensis and water-spenders Quercus coccifera and Quercus ilex. Trees-Structure And Function 20(6):689-700
</t>
  </si>
  <si>
    <t>baq-1</t>
  </si>
  <si>
    <t>leaf area, mass relations, SLA / leaf weight</t>
  </si>
  <si>
    <t>Fuentes D, Disante KB, Valdecantos A, Cortina J, Vallejo VR (2007) Response of Pinus halepensis Mill. seedlings to biosolids enriched with Cu, Ni and Zn in three Mediterranean forest soils. Environmental Pollution 145(1):316-323.</t>
  </si>
  <si>
    <t>fue-01</t>
  </si>
  <si>
    <t>lysimeter experiment with 1yr old seedlings, planted in february and harvested in october, on 3 soils (marl, limestone, sandstone)</t>
  </si>
  <si>
    <t>Table 5: Morphology of P. halepensis seedlings</t>
  </si>
  <si>
    <t>soil:</t>
  </si>
  <si>
    <t>diameter (mm)</t>
  </si>
  <si>
    <t>biomass (g DM)</t>
  </si>
  <si>
    <t>shoot</t>
  </si>
  <si>
    <t>root</t>
  </si>
  <si>
    <t>RWR</t>
  </si>
  <si>
    <t>spec. RL (cm mg-1)</t>
  </si>
  <si>
    <t>spec. NW (mg cm-2)</t>
  </si>
  <si>
    <t>root weight ratio</t>
  </si>
  <si>
    <t>marl</t>
  </si>
  <si>
    <t>limestone</t>
  </si>
  <si>
    <t>sandstone</t>
  </si>
  <si>
    <t>SE</t>
  </si>
  <si>
    <t>pdiama, -b, c:</t>
  </si>
  <si>
    <t>Lopez-Serrano FR, Garcia-Morote A, Andres-Abellan M, Tendero A, del Cerro A (2005) Site and weather effects in allometries: A simple approach to climate change effect on pines. Forest Ecology And Management 215(1-3):251-270</t>
  </si>
  <si>
    <t>lop-04</t>
  </si>
  <si>
    <t>allometry</t>
  </si>
  <si>
    <t>Table 2: summary of dendrometric characteristics ...</t>
  </si>
  <si>
    <t>site</t>
  </si>
  <si>
    <t>date</t>
  </si>
  <si>
    <t>n</t>
  </si>
  <si>
    <t>Vol. (o.B., m3)</t>
  </si>
  <si>
    <t>stem_bm (kg)</t>
  </si>
  <si>
    <t>Bran_bm (kg)</t>
  </si>
  <si>
    <t>Leaf_bm (kg)</t>
  </si>
  <si>
    <t>LA (m2)</t>
  </si>
  <si>
    <t>Cr_length (%)</t>
  </si>
  <si>
    <t>relative Crown length</t>
  </si>
  <si>
    <t>Casa Molina</t>
  </si>
  <si>
    <t>may 97</t>
  </si>
  <si>
    <t>may 98</t>
  </si>
  <si>
    <t>May 2000</t>
  </si>
  <si>
    <t>Ayna</t>
  </si>
  <si>
    <t>Murcia</t>
  </si>
  <si>
    <t>mean:</t>
  </si>
  <si>
    <t>=pha_v1 / 100</t>
  </si>
  <si>
    <t>= pha_v2</t>
  </si>
  <si>
    <t>=pha_v3 * (-1)</t>
  </si>
  <si>
    <t>Lopez-Serrano FR, Landete-Castillejos T, Martinez-Millan J, del Cerro-Barja A (2000) LAI estimation of natural pine forest using a non-standard sampling technique. Agricultural And Forest Meteorology 101(2-3):95-111</t>
  </si>
  <si>
    <t>Lopez-Serrano FR, Landete-Castillejos T, Martinez-Millan J, del Cerro-Barja A (2000) LAI estimation of natural pine forest using a non-standard sampling technique. Agricultural And Forest Meteorology 101(2-3):95-111.</t>
  </si>
  <si>
    <t>lop-05</t>
  </si>
  <si>
    <t>height-foliage relationship</t>
  </si>
  <si>
    <t>Model:</t>
  </si>
  <si>
    <t>R^2 (%)</t>
  </si>
  <si>
    <t>SEE:</t>
  </si>
  <si>
    <t>stem biomass = 0.21 * DBH^2</t>
  </si>
  <si>
    <t>stem volume (dm3) = 0.117 * DBH^2.398</t>
  </si>
  <si>
    <t>crown area (m2) = 0.067*DBH^1.661</t>
  </si>
  <si>
    <t>crown area (m2) = 0.017*(DBH^1.715)*exp(0.074*spacing index)</t>
  </si>
  <si>
    <t>leaf area (m2) = 0.054*DBH^2.05</t>
  </si>
  <si>
    <t>leaf area (m2) = 0.107*DBH(u.b.)^1.98</t>
  </si>
  <si>
    <t>leaf area (m2) = 0.141*SAcb^1.11</t>
  </si>
  <si>
    <t>leaf area (m2) = 0.152*SAbh^1.00</t>
  </si>
  <si>
    <t>leaf area (m2) = 0.127*Dcb^2.05</t>
  </si>
  <si>
    <t>Table 1: allometric relationships in Pinus halepensis (excerpt)</t>
  </si>
  <si>
    <t>sapwood area at crown base: SAcb = ((0.054/0.141)*D^2.05)^(1/1.11)</t>
  </si>
  <si>
    <t>DBH</t>
  </si>
  <si>
    <t>SLA (m2 kg-1)</t>
  </si>
  <si>
    <t>SLA (lop-04)</t>
  </si>
  <si>
    <t>leaf mass</t>
  </si>
  <si>
    <t>Dcb (cm)</t>
  </si>
  <si>
    <t>pnus = foliage mass / sapwood area at crown base (kg cm-2) --&gt; kann nicht stimmen, ist zu hoch</t>
  </si>
  <si>
    <t>from lop-05:</t>
  </si>
  <si>
    <t>SAcb (m2)</t>
  </si>
  <si>
    <t>Sacb (m2)</t>
  </si>
  <si>
    <t>pnus</t>
  </si>
  <si>
    <t>dbh</t>
  </si>
  <si>
    <t>Dcb</t>
  </si>
  <si>
    <t>Dcore</t>
  </si>
  <si>
    <t>diam = sapw. (%)</t>
  </si>
  <si>
    <t>Erst ab BHD = 4 setzt Verkernung ein !!</t>
  </si>
  <si>
    <t>Royo A, Gil L, Pardos JA (2001) Effect of water stress conditioning on morphology, physiology and field performance of Pinus halepensis Mill. seedlings. New Forests 21(2):127-140</t>
  </si>
  <si>
    <t>roy-01</t>
  </si>
  <si>
    <t>seedling data</t>
  </si>
  <si>
    <t>Table 5: mean values of morphological parameters</t>
  </si>
  <si>
    <t>seedlings, 5 months old, 4 irrigation treatments for 8 weeks</t>
  </si>
  <si>
    <t>treat.</t>
  </si>
  <si>
    <t>D (mm)</t>
  </si>
  <si>
    <t>Shoot_dw (g)</t>
  </si>
  <si>
    <t>root_dw (g)</t>
  </si>
  <si>
    <t>shoot/root ratio</t>
  </si>
  <si>
    <t>mortality (%)</t>
  </si>
  <si>
    <t>Table 6: Mineral nutrients ...</t>
  </si>
  <si>
    <t>BHD</t>
  </si>
  <si>
    <t>crown_a</t>
  </si>
  <si>
    <t>crown_b</t>
  </si>
  <si>
    <t>4C-Funktion</t>
  </si>
  <si>
    <t>diff</t>
  </si>
  <si>
    <t>height</t>
  </si>
  <si>
    <t>shoot BM</t>
  </si>
  <si>
    <t>shoot [kg]</t>
  </si>
  <si>
    <t>leaf BM</t>
  </si>
  <si>
    <t>Shoot- height relationship</t>
  </si>
  <si>
    <t>H = 1.3145*Ws^0.3426</t>
  </si>
  <si>
    <t>fuentes</t>
  </si>
  <si>
    <t>baq</t>
  </si>
  <si>
    <t>daten von Fuentes weggelassen</t>
  </si>
  <si>
    <t>function from data lop-05</t>
  </si>
  <si>
    <t>Le Thiec, D. &amp; Manninen, S. (2003): Ozone and water deficit reduced growth of Aleppo pine seedlings. Plant Physiology And Biochemistry 41(1): 55-63.</t>
  </si>
  <si>
    <t>treatment</t>
  </si>
  <si>
    <t>Biomass</t>
  </si>
  <si>
    <t>needles</t>
  </si>
  <si>
    <t>wood</t>
  </si>
  <si>
    <t>CFWW</t>
  </si>
  <si>
    <t>NF+O3WW</t>
  </si>
  <si>
    <t>CFDS</t>
  </si>
  <si>
    <t>NF+O3DS</t>
  </si>
  <si>
    <t>g/plant</t>
  </si>
  <si>
    <t>baq-01</t>
  </si>
  <si>
    <t>Pinus sylv</t>
  </si>
  <si>
    <t>pa</t>
  </si>
  <si>
    <t>pb</t>
  </si>
  <si>
    <t>Pinus hal</t>
  </si>
  <si>
    <t>Treatment</t>
  </si>
  <si>
    <t>Date</t>
  </si>
  <si>
    <t>Height (cm)</t>
  </si>
  <si>
    <t>SEHeight</t>
  </si>
  <si>
    <t>Basal diameter (mm)</t>
  </si>
  <si>
    <t>SEBasal diameter</t>
  </si>
  <si>
    <t>BM_total</t>
  </si>
  <si>
    <t>BM_stem</t>
  </si>
  <si>
    <t>BM_branches</t>
  </si>
  <si>
    <t>BM_needles</t>
  </si>
  <si>
    <t>Amended</t>
  </si>
  <si>
    <t>NotAmended</t>
  </si>
  <si>
    <t>BMN falsch?</t>
  </si>
  <si>
    <t>height_falt</t>
  </si>
  <si>
    <t>height_fneu</t>
  </si>
  <si>
    <t>BM_needle_alt</t>
  </si>
  <si>
    <t>daten Gonzalo barbera</t>
  </si>
  <si>
    <t>Pausas, J. G. et al. (2003): Fire severity and seedling establishment in Pinus halepensis woodlands, eastern Iberian Peninsula. Plant ecology 169:205 - 213</t>
  </si>
  <si>
    <t>2.5 years (29 months) after fire, natural regeneration</t>
  </si>
  <si>
    <t>figure 4b: mean biomass (g) of needles, stems, roots, r:s-ratio</t>
  </si>
  <si>
    <t>fire severity class</t>
  </si>
  <si>
    <t>cm in figure!!</t>
  </si>
  <si>
    <t>low</t>
  </si>
  <si>
    <t>high</t>
  </si>
  <si>
    <t>3.65cm = 4.0g</t>
  </si>
  <si>
    <t>REAL (g) / (g / g)</t>
  </si>
  <si>
    <t>Needles</t>
  </si>
  <si>
    <t xml:space="preserve">1 cm = </t>
  </si>
  <si>
    <t>stems</t>
  </si>
  <si>
    <t>roots</t>
  </si>
  <si>
    <t>r:s</t>
  </si>
  <si>
    <t>Sardans, J. et al. (2004): Phosphorus limitation and competitive capacities of Pinus halepensis ...</t>
  </si>
  <si>
    <t>five year post-fire, garden pot experiment with naturally regenrated seedlings, duration 3 years</t>
  </si>
  <si>
    <t xml:space="preserve">mean seedling dimension: </t>
  </si>
  <si>
    <t>height 562 +/- 65 (SE) mm, basal area 208 +/- 12 mm</t>
  </si>
  <si>
    <t>figure 4: fine root (&lt;0.5mm) biomass (g) with different P nutrition</t>
  </si>
  <si>
    <t>P level</t>
  </si>
  <si>
    <t>fine root BM</t>
  </si>
  <si>
    <t>fine roots / thick roots</t>
  </si>
  <si>
    <t>total biomass (from figure 3)</t>
  </si>
  <si>
    <t>garden experiment, figure 6:</t>
  </si>
  <si>
    <t>shoot:root biomass</t>
  </si>
  <si>
    <t>calceaous soil</t>
  </si>
  <si>
    <t>silicate soil</t>
  </si>
  <si>
    <t>pab</t>
  </si>
  <si>
    <t>Linearisierung für pab</t>
  </si>
  <si>
    <t>wodd [kg]</t>
  </si>
  <si>
    <t>needle [kg]</t>
  </si>
  <si>
    <t>stem mass - needle mass relationship</t>
  </si>
  <si>
    <t>Lopez-serrano 2005</t>
  </si>
  <si>
    <t>crown area function</t>
  </si>
  <si>
    <t>Lopez-serano(2005)</t>
  </si>
  <si>
    <t>Allometric relationship</t>
  </si>
  <si>
    <t>Ws</t>
  </si>
  <si>
    <t>Wb</t>
  </si>
  <si>
    <t>Wb/ws</t>
  </si>
  <si>
    <t>br_frac</t>
  </si>
  <si>
    <t>Lt [m²]</t>
  </si>
  <si>
    <t>leafmass [kg]</t>
  </si>
  <si>
    <t>sac[m²]</t>
  </si>
  <si>
    <t>[cm²]</t>
  </si>
  <si>
    <t>leafmass/Sacx</t>
  </si>
  <si>
    <t>dry mass of needles</t>
  </si>
  <si>
    <t>Wl[kg]</t>
  </si>
  <si>
    <t>L[m²]</t>
  </si>
  <si>
    <t>mg/cm²</t>
  </si>
  <si>
    <t>kg/m2</t>
  </si>
  <si>
    <t>??????</t>
  </si>
  <si>
    <t>Lopez-Serrano(2005)</t>
  </si>
  <si>
    <t>leaf mass to sapwood area</t>
  </si>
  <si>
    <t>psla_min</t>
  </si>
  <si>
    <t>kg DM/cm²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</si>
</sst>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2" formatCode="0.0"/>
    <numFmt numFmtId="173" formatCode="0.000"/>
  </numFmts>
  <fonts count="8" x14ac:knownFonts="1">
    <font>
      <sz val="10"/>
      <name val="Arial"/>
    </font>
    <font>
      <sz val="10"/>
      <name val="MS Sans Serif"/>
      <family val="2"/>
    </font>
    <font>
      <sz val="8"/>
      <name val="Arial"/>
      <family val="2"/>
    </font>
    <font>
      <sz val="8"/>
      <color indexed="81"/>
      <name val="Tahoma"/>
      <family val="2"/>
    </font>
    <font>
      <b/>
      <sz val="8"/>
      <color indexed="81"/>
      <name val="Tahoma"/>
      <family val="2"/>
    </font>
    <font>
      <sz val="10"/>
      <color indexed="10"/>
      <name val="Arial"/>
      <family val="2"/>
    </font>
    <font>
      <b/>
      <sz val="10"/>
      <color indexed="10"/>
      <name val="Arial"/>
      <family val="2"/>
    </font>
    <font>
      <sz val="10"/>
      <color indexed="8"/>
      <name val="Arial"/>
      <family val="2"/>
    </font>
  </fonts>
  <fills count="3">
    <fill>
      <patternFill patternType="none"/>
    </fill>
    <fill>
      <patternFill patternType="gray125"/>
    </fill>
    <fill>
      <patternFill patternType="solid">
        <fgColor indexed="13"/>
        <bgColor indexed="64"/>
      </patternFill>
    </fill>
  </fills>
  <borders count="1">
    <border>
      <left/>
      <right/>
      <top/>
      <bottom/>
      <diagonal/>
    </border>
  </borders>
  <cellStyleXfs count="3">
    <xf numFmtId="0" fontId="0" fillId="0" borderId="0"/>
    <xf numFmtId="0" fontId="7" fillId="0" borderId="0"/>
    <xf numFmtId="0" fontId="1" fillId="0" borderId="0" applyNumberFormat="0" applyFont="0" applyFill="0" applyBorder="0" applyAlignment="0" applyProtection="0">
      <alignment vertical="top"/>
    </xf>
  </cellStyleXfs>
  <cellXfs count="16">
    <xf numFmtId="0" fontId="0" fillId="0" borderId="0" xfId="0"/>
    <xf numFmtId="2" fontId="0" fillId="0" borderId="0" xfId="0" applyNumberFormat="1"/>
    <xf numFmtId="0" fontId="0" fillId="0" borderId="0" xfId="0" applyAlignment="1">
      <alignment wrapText="1"/>
    </xf>
    <xf numFmtId="0" fontId="0" fillId="0" borderId="0" xfId="0" applyAlignment="1"/>
    <xf numFmtId="17" fontId="0" fillId="0" borderId="0" xfId="0" applyNumberFormat="1"/>
    <xf numFmtId="0" fontId="1" fillId="0" borderId="0" xfId="2" applyNumberFormat="1" applyFont="1" applyFill="1" applyBorder="1" applyAlignment="1" applyProtection="1">
      <alignment vertical="top"/>
    </xf>
    <xf numFmtId="172" fontId="0" fillId="0" borderId="0" xfId="0" applyNumberFormat="1"/>
    <xf numFmtId="0" fontId="0" fillId="0" borderId="0" xfId="0" quotePrefix="1"/>
    <xf numFmtId="0" fontId="0" fillId="2" borderId="0" xfId="0" applyFill="1"/>
    <xf numFmtId="0" fontId="5" fillId="0" borderId="0" xfId="0" applyFont="1"/>
    <xf numFmtId="0" fontId="6" fillId="0" borderId="0" xfId="0" applyFont="1"/>
    <xf numFmtId="173" fontId="5" fillId="0" borderId="0" xfId="0" applyNumberFormat="1" applyFont="1"/>
    <xf numFmtId="173" fontId="0" fillId="0" borderId="0" xfId="0" applyNumberFormat="1"/>
    <xf numFmtId="0" fontId="6" fillId="2" borderId="0" xfId="0" applyFont="1" applyFill="1"/>
    <xf numFmtId="14" fontId="0" fillId="0" borderId="0" xfId="0" applyNumberFormat="1"/>
    <xf numFmtId="0" fontId="5" fillId="2" borderId="0" xfId="0" applyFont="1" applyFill="1"/>
  </cellXfs>
  <cellStyles count="3">
    <cellStyle name="Normal_Hoja2" xfId="1"/>
    <cellStyle name="Standard" xfId="0" builtinId="0"/>
    <cellStyle name="Standard_birke_neu"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697957184247833E-2"/>
          <c:y val="6.4516207201127287E-2"/>
          <c:w val="0.64458855370033075"/>
          <c:h val="0.82382233810670236"/>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power"/>
            <c:dispRSqr val="1"/>
            <c:dispEq val="1"/>
            <c:trendlineLbl>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'baq-01'!$C$30:$D$30</c:f>
              <c:numCache>
                <c:formatCode>General</c:formatCode>
                <c:ptCount val="2"/>
                <c:pt idx="0">
                  <c:v>3.86</c:v>
                </c:pt>
                <c:pt idx="1">
                  <c:v>3.23</c:v>
                </c:pt>
              </c:numCache>
            </c:numRef>
          </c:xVal>
          <c:yVal>
            <c:numRef>
              <c:f>'baq-01'!$C$31:$D$31</c:f>
              <c:numCache>
                <c:formatCode>General</c:formatCode>
                <c:ptCount val="2"/>
                <c:pt idx="0">
                  <c:v>9.26</c:v>
                </c:pt>
                <c:pt idx="1">
                  <c:v>8.64</c:v>
                </c:pt>
              </c:numCache>
            </c:numRef>
          </c:yVal>
          <c:smooth val="0"/>
        </c:ser>
        <c:dLbls>
          <c:showLegendKey val="0"/>
          <c:showVal val="0"/>
          <c:showCatName val="0"/>
          <c:showSerName val="0"/>
          <c:showPercent val="0"/>
          <c:showBubbleSize val="0"/>
        </c:dLbls>
        <c:axId val="215324288"/>
        <c:axId val="215324864"/>
      </c:scatterChart>
      <c:valAx>
        <c:axId val="215324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5324864"/>
        <c:crosses val="autoZero"/>
        <c:crossBetween val="midCat"/>
      </c:valAx>
      <c:valAx>
        <c:axId val="2153248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5324288"/>
        <c:crosses val="autoZero"/>
        <c:crossBetween val="midCat"/>
      </c:valAx>
      <c:spPr>
        <a:solidFill>
          <a:srgbClr val="C0C0C0"/>
        </a:solidFill>
        <a:ln w="12700">
          <a:solidFill>
            <a:srgbClr val="808080"/>
          </a:solidFill>
          <a:prstDash val="solid"/>
        </a:ln>
      </c:spPr>
    </c:plotArea>
    <c:legend>
      <c:legendPos val="r"/>
      <c:layout>
        <c:manualLayout>
          <c:xMode val="edge"/>
          <c:yMode val="edge"/>
          <c:x val="0.75282773439687756"/>
          <c:y val="0.42431813197664486"/>
          <c:w val="0.23424897314924301"/>
          <c:h val="0.10669988114032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90744008220836E-2"/>
          <c:y val="6.9138028744113747E-2"/>
          <c:w val="0.68118055417906398"/>
          <c:h val="0.82471791430478547"/>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power"/>
            <c:dispRSqr val="1"/>
            <c:dispEq val="1"/>
            <c:trendlineLbl>
              <c:layout>
                <c:manualLayout>
                  <c:xMode val="edge"/>
                  <c:yMode val="edge"/>
                  <c:x val="0.41547182737162769"/>
                  <c:y val="6.9138028744113747E-2"/>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LeThiec!$E$7:$E$10</c:f>
              <c:numCache>
                <c:formatCode>General</c:formatCode>
                <c:ptCount val="4"/>
                <c:pt idx="0">
                  <c:v>6.8400000000000002E-2</c:v>
                </c:pt>
                <c:pt idx="1">
                  <c:v>3.7600000000000001E-2</c:v>
                </c:pt>
                <c:pt idx="2">
                  <c:v>4.8600000000000004E-2</c:v>
                </c:pt>
                <c:pt idx="3">
                  <c:v>4.3700000000000003E-2</c:v>
                </c:pt>
              </c:numCache>
            </c:numRef>
          </c:xVal>
          <c:yVal>
            <c:numRef>
              <c:f>LeThiec!$C$7:$C$10</c:f>
              <c:numCache>
                <c:formatCode>General</c:formatCode>
                <c:ptCount val="4"/>
                <c:pt idx="0">
                  <c:v>9.6599999999999991E-2</c:v>
                </c:pt>
                <c:pt idx="1">
                  <c:v>7.0699999999999999E-2</c:v>
                </c:pt>
                <c:pt idx="2">
                  <c:v>6.1899999999999997E-2</c:v>
                </c:pt>
                <c:pt idx="3">
                  <c:v>5.91E-2</c:v>
                </c:pt>
              </c:numCache>
            </c:numRef>
          </c:yVal>
          <c:smooth val="0"/>
        </c:ser>
        <c:ser>
          <c:idx val="1"/>
          <c:order val="1"/>
          <c:tx>
            <c:v>GB</c:v>
          </c:tx>
          <c:spPr>
            <a:ln w="28575">
              <a:noFill/>
            </a:ln>
          </c:spPr>
          <c:marker>
            <c:symbol val="square"/>
            <c:size val="5"/>
            <c:spPr>
              <a:solidFill>
                <a:srgbClr val="FF00FF"/>
              </a:solidFill>
              <a:ln>
                <a:solidFill>
                  <a:srgbClr val="FF00FF"/>
                </a:solidFill>
                <a:prstDash val="solid"/>
              </a:ln>
            </c:spPr>
          </c:marker>
          <c:trendline>
            <c:spPr>
              <a:ln w="25400">
                <a:solidFill>
                  <a:srgbClr val="000000"/>
                </a:solidFill>
                <a:prstDash val="solid"/>
              </a:ln>
            </c:spPr>
            <c:trendlineType val="power"/>
            <c:dispRSqr val="1"/>
            <c:dispEq val="1"/>
            <c:trendlineLbl>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Growth_comp!$M$5:$M$20</c:f>
              <c:numCache>
                <c:formatCode>General</c:formatCode>
                <c:ptCount val="16"/>
                <c:pt idx="3">
                  <c:v>7.5319898880000014E-2</c:v>
                </c:pt>
                <c:pt idx="4">
                  <c:v>9.3060000000000004E-2</c:v>
                </c:pt>
                <c:pt idx="5">
                  <c:v>0.15042378197999998</c:v>
                </c:pt>
                <c:pt idx="6">
                  <c:v>0.16090069511999999</c:v>
                </c:pt>
                <c:pt idx="7">
                  <c:v>0.20458317671999998</c:v>
                </c:pt>
                <c:pt idx="11">
                  <c:v>3.6465914879999999E-2</c:v>
                </c:pt>
                <c:pt idx="12">
                  <c:v>5.1514193279999995E-2</c:v>
                </c:pt>
                <c:pt idx="13">
                  <c:v>7.2171377819999993E-2</c:v>
                </c:pt>
                <c:pt idx="14">
                  <c:v>6.9387313680000021E-2</c:v>
                </c:pt>
                <c:pt idx="15">
                  <c:v>9.7932682619999989E-2</c:v>
                </c:pt>
              </c:numCache>
            </c:numRef>
          </c:xVal>
          <c:yVal>
            <c:numRef>
              <c:f>Growth_comp!$I$5:$I$20</c:f>
              <c:numCache>
                <c:formatCode>General</c:formatCode>
                <c:ptCount val="16"/>
                <c:pt idx="3">
                  <c:v>2.0408849280000019E-2</c:v>
                </c:pt>
                <c:pt idx="4">
                  <c:v>2.8750000000000001E-2</c:v>
                </c:pt>
                <c:pt idx="5">
                  <c:v>6.2788262879999987E-2</c:v>
                </c:pt>
                <c:pt idx="6">
                  <c:v>6.9766134719999998E-2</c:v>
                </c:pt>
                <c:pt idx="7">
                  <c:v>0.10051798431999998</c:v>
                </c:pt>
                <c:pt idx="11">
                  <c:v>1.0568865279999997E-2</c:v>
                </c:pt>
                <c:pt idx="12">
                  <c:v>1.2318295680000006E-2</c:v>
                </c:pt>
                <c:pt idx="13">
                  <c:v>1.9097885920000002E-2</c:v>
                </c:pt>
                <c:pt idx="14">
                  <c:v>1.7989718080000008E-2</c:v>
                </c:pt>
                <c:pt idx="15">
                  <c:v>3.1277434720000018E-2</c:v>
                </c:pt>
              </c:numCache>
            </c:numRef>
          </c:yVal>
          <c:smooth val="0"/>
        </c:ser>
        <c:dLbls>
          <c:showLegendKey val="0"/>
          <c:showVal val="0"/>
          <c:showCatName val="0"/>
          <c:showSerName val="0"/>
          <c:showPercent val="0"/>
          <c:showBubbleSize val="0"/>
        </c:dLbls>
        <c:axId val="255008064"/>
        <c:axId val="235364352"/>
      </c:scatterChart>
      <c:valAx>
        <c:axId val="2550080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35364352"/>
        <c:crosses val="autoZero"/>
        <c:crossBetween val="midCat"/>
      </c:valAx>
      <c:valAx>
        <c:axId val="23536435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08064"/>
        <c:crosses val="autoZero"/>
        <c:crossBetween val="midCat"/>
      </c:valAx>
      <c:spPr>
        <a:noFill/>
        <a:ln w="12700">
          <a:solidFill>
            <a:srgbClr val="808080"/>
          </a:solidFill>
          <a:prstDash val="solid"/>
        </a:ln>
      </c:spPr>
    </c:plotArea>
    <c:legend>
      <c:legendPos val="r"/>
      <c:layout>
        <c:manualLayout>
          <c:xMode val="edge"/>
          <c:yMode val="edge"/>
          <c:x val="0.76008799426127227"/>
          <c:y val="0.49878149308253489"/>
          <c:w val="0.23350160840653492"/>
          <c:h val="0.2098833015446310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16633808333507"/>
          <c:y val="6.9138028744113747E-2"/>
          <c:w val="0.64253201209798227"/>
          <c:h val="0.76298753149754106"/>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linear"/>
            <c:intercept val="0"/>
            <c:dispRSqr val="1"/>
            <c:dispEq val="1"/>
            <c:trendlineLbl>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LeThiec!$E$7:$E$22</c:f>
              <c:numCache>
                <c:formatCode>General</c:formatCode>
                <c:ptCount val="16"/>
                <c:pt idx="0">
                  <c:v>6.8400000000000002E-2</c:v>
                </c:pt>
                <c:pt idx="1">
                  <c:v>3.7600000000000001E-2</c:v>
                </c:pt>
                <c:pt idx="2">
                  <c:v>4.8600000000000004E-2</c:v>
                </c:pt>
                <c:pt idx="3">
                  <c:v>4.3700000000000003E-2</c:v>
                </c:pt>
                <c:pt idx="4">
                  <c:v>3.8599999999999997E-3</c:v>
                </c:pt>
                <c:pt idx="5">
                  <c:v>9.2599999999999991E-3</c:v>
                </c:pt>
                <c:pt idx="6">
                  <c:v>2.0408849280000019E-2</c:v>
                </c:pt>
                <c:pt idx="7">
                  <c:v>2.8750000000000001E-2</c:v>
                </c:pt>
                <c:pt idx="8">
                  <c:v>6.2788262879999987E-2</c:v>
                </c:pt>
                <c:pt idx="9">
                  <c:v>6.9766134719999998E-2</c:v>
                </c:pt>
                <c:pt idx="10">
                  <c:v>0.10051798431999998</c:v>
                </c:pt>
                <c:pt idx="11">
                  <c:v>1.0568865279999997E-2</c:v>
                </c:pt>
                <c:pt idx="12">
                  <c:v>1.2318295680000006E-2</c:v>
                </c:pt>
                <c:pt idx="13">
                  <c:v>1.9097885920000002E-2</c:v>
                </c:pt>
                <c:pt idx="14">
                  <c:v>1.7989718080000008E-2</c:v>
                </c:pt>
                <c:pt idx="15">
                  <c:v>3.1277434720000018E-2</c:v>
                </c:pt>
              </c:numCache>
            </c:numRef>
          </c:xVal>
          <c:yVal>
            <c:numRef>
              <c:f>LeThiec!$C$7:$C$22</c:f>
              <c:numCache>
                <c:formatCode>General</c:formatCode>
                <c:ptCount val="16"/>
                <c:pt idx="0">
                  <c:v>9.6599999999999991E-2</c:v>
                </c:pt>
                <c:pt idx="1">
                  <c:v>7.0699999999999999E-2</c:v>
                </c:pt>
                <c:pt idx="2">
                  <c:v>6.1899999999999997E-2</c:v>
                </c:pt>
                <c:pt idx="3">
                  <c:v>5.91E-2</c:v>
                </c:pt>
                <c:pt idx="4">
                  <c:v>3.2299999999999998E-3</c:v>
                </c:pt>
                <c:pt idx="5">
                  <c:v>8.6400000000000001E-3</c:v>
                </c:pt>
                <c:pt idx="6">
                  <c:v>7.5319898880000014E-2</c:v>
                </c:pt>
                <c:pt idx="7">
                  <c:v>9.3060000000000004E-2</c:v>
                </c:pt>
                <c:pt idx="8">
                  <c:v>0.15042378197999998</c:v>
                </c:pt>
                <c:pt idx="9">
                  <c:v>0.16090069511999999</c:v>
                </c:pt>
                <c:pt idx="10">
                  <c:v>0.20458317671999998</c:v>
                </c:pt>
                <c:pt idx="11">
                  <c:v>3.6465914879999999E-2</c:v>
                </c:pt>
                <c:pt idx="12">
                  <c:v>5.1514193279999995E-2</c:v>
                </c:pt>
                <c:pt idx="13">
                  <c:v>7.2171377819999993E-2</c:v>
                </c:pt>
                <c:pt idx="14">
                  <c:v>6.9387313680000021E-2</c:v>
                </c:pt>
                <c:pt idx="15">
                  <c:v>9.7932682619999989E-2</c:v>
                </c:pt>
              </c:numCache>
            </c:numRef>
          </c:yVal>
          <c:smooth val="0"/>
        </c:ser>
        <c:dLbls>
          <c:showLegendKey val="0"/>
          <c:showVal val="0"/>
          <c:showCatName val="0"/>
          <c:showSerName val="0"/>
          <c:showPercent val="0"/>
          <c:showBubbleSize val="0"/>
        </c:dLbls>
        <c:axId val="235366080"/>
        <c:axId val="235366656"/>
      </c:scatterChart>
      <c:valAx>
        <c:axId val="235366080"/>
        <c:scaling>
          <c:orientation val="minMax"/>
        </c:scaling>
        <c:delete val="0"/>
        <c:axPos val="b"/>
        <c:title>
          <c:tx>
            <c:rich>
              <a:bodyPr/>
              <a:lstStyle/>
              <a:p>
                <a:pPr>
                  <a:defRPr sz="1000" b="1" i="0" u="none" strike="noStrike" baseline="0">
                    <a:solidFill>
                      <a:srgbClr val="000000"/>
                    </a:solidFill>
                    <a:latin typeface="Arial"/>
                    <a:ea typeface="Arial"/>
                    <a:cs typeface="Arial"/>
                  </a:defRPr>
                </a:pPr>
                <a:r>
                  <a:t>stem [kg]</a:t>
                </a:r>
              </a:p>
            </c:rich>
          </c:tx>
          <c:layout>
            <c:manualLayout>
              <c:xMode val="edge"/>
              <c:yMode val="edge"/>
              <c:x val="0.39131648857095164"/>
              <c:y val="0.9086712349226377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35366656"/>
        <c:crosses val="autoZero"/>
        <c:crossBetween val="midCat"/>
      </c:valAx>
      <c:valAx>
        <c:axId val="23536665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needle[kg]</a:t>
                </a:r>
              </a:p>
            </c:rich>
          </c:tx>
          <c:layout>
            <c:manualLayout>
              <c:xMode val="edge"/>
              <c:yMode val="edge"/>
              <c:x val="2.2544982880630959E-2"/>
              <c:y val="0.36297465090659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35366080"/>
        <c:crosses val="autoZero"/>
        <c:crossBetween val="midCat"/>
      </c:valAx>
      <c:spPr>
        <a:noFill/>
        <a:ln w="12700">
          <a:solidFill>
            <a:srgbClr val="808080"/>
          </a:solidFill>
          <a:prstDash val="solid"/>
        </a:ln>
      </c:spPr>
    </c:plotArea>
    <c:legend>
      <c:legendPos val="r"/>
      <c:layout>
        <c:manualLayout>
          <c:xMode val="edge"/>
          <c:yMode val="edge"/>
          <c:x val="0.79551582450226388"/>
          <c:y val="0.58273481370038727"/>
          <c:w val="0.19807377816554342"/>
          <c:h val="0.1061762584284604"/>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43767113567414"/>
          <c:y val="6.9138028744113747E-2"/>
          <c:w val="0.63187845271438436"/>
          <c:h val="0.76792596212212061"/>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power"/>
            <c:dispRSqr val="1"/>
            <c:dispEq val="1"/>
            <c:trendlineLbl>
              <c:layout>
                <c:manualLayout>
                  <c:xMode val="edge"/>
                  <c:yMode val="edge"/>
                  <c:x val="0.73984647964877492"/>
                  <c:y val="6.1730382807244417E-2"/>
                </c:manualLayout>
              </c:layout>
              <c:numFmt formatCode="General" sourceLinked="0"/>
              <c:spPr>
                <a:noFill/>
                <a:ln w="25400">
                  <a:noFill/>
                </a:ln>
              </c:spPr>
              <c:txPr>
                <a:bodyPr/>
                <a:lstStyle/>
                <a:p>
                  <a:pPr>
                    <a:defRPr sz="1175" b="0" i="0" u="none" strike="noStrike" baseline="0">
                      <a:solidFill>
                        <a:srgbClr val="000000"/>
                      </a:solidFill>
                      <a:latin typeface="Arial"/>
                      <a:ea typeface="Arial"/>
                      <a:cs typeface="Arial"/>
                    </a:defRPr>
                  </a:pPr>
                  <a:endParaRPr lang="de-DE"/>
                </a:p>
              </c:txPr>
            </c:trendlineLbl>
          </c:trendline>
          <c:xVal>
            <c:numRef>
              <c:f>LeThiec!$E$7:$E$12</c:f>
              <c:numCache>
                <c:formatCode>General</c:formatCode>
                <c:ptCount val="6"/>
                <c:pt idx="0">
                  <c:v>6.8400000000000002E-2</c:v>
                </c:pt>
                <c:pt idx="1">
                  <c:v>3.7600000000000001E-2</c:v>
                </c:pt>
                <c:pt idx="2">
                  <c:v>4.8600000000000004E-2</c:v>
                </c:pt>
                <c:pt idx="3">
                  <c:v>4.3700000000000003E-2</c:v>
                </c:pt>
                <c:pt idx="4">
                  <c:v>3.8599999999999997E-3</c:v>
                </c:pt>
                <c:pt idx="5">
                  <c:v>9.2599999999999991E-3</c:v>
                </c:pt>
              </c:numCache>
            </c:numRef>
          </c:xVal>
          <c:yVal>
            <c:numRef>
              <c:f>LeThiec!$C$7:$C$12</c:f>
              <c:numCache>
                <c:formatCode>General</c:formatCode>
                <c:ptCount val="6"/>
                <c:pt idx="0">
                  <c:v>9.6599999999999991E-2</c:v>
                </c:pt>
                <c:pt idx="1">
                  <c:v>7.0699999999999999E-2</c:v>
                </c:pt>
                <c:pt idx="2">
                  <c:v>6.1899999999999997E-2</c:v>
                </c:pt>
                <c:pt idx="3">
                  <c:v>5.91E-2</c:v>
                </c:pt>
                <c:pt idx="4">
                  <c:v>3.2299999999999998E-3</c:v>
                </c:pt>
                <c:pt idx="5">
                  <c:v>8.6400000000000001E-3</c:v>
                </c:pt>
              </c:numCache>
            </c:numRef>
          </c:yVal>
          <c:smooth val="0"/>
        </c:ser>
        <c:dLbls>
          <c:showLegendKey val="0"/>
          <c:showVal val="0"/>
          <c:showCatName val="0"/>
          <c:showSerName val="0"/>
          <c:showPercent val="0"/>
          <c:showBubbleSize val="0"/>
        </c:dLbls>
        <c:axId val="235368384"/>
        <c:axId val="235368960"/>
      </c:scatterChart>
      <c:valAx>
        <c:axId val="235368384"/>
        <c:scaling>
          <c:orientation val="minMax"/>
        </c:scaling>
        <c:delete val="0"/>
        <c:axPos val="b"/>
        <c:title>
          <c:tx>
            <c:rich>
              <a:bodyPr/>
              <a:lstStyle/>
              <a:p>
                <a:pPr>
                  <a:defRPr sz="900" b="1" i="0" u="none" strike="noStrike" baseline="0">
                    <a:solidFill>
                      <a:srgbClr val="000000"/>
                    </a:solidFill>
                    <a:latin typeface="Arial"/>
                    <a:ea typeface="Arial"/>
                    <a:cs typeface="Arial"/>
                  </a:defRPr>
                </a:pPr>
                <a:r>
                  <a:t>needle [kg]</a:t>
                </a:r>
              </a:p>
            </c:rich>
          </c:tx>
          <c:layout>
            <c:manualLayout>
              <c:xMode val="edge"/>
              <c:yMode val="edge"/>
              <c:x val="0.38408298106168459"/>
              <c:y val="0.9111404502349276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35368960"/>
        <c:crosses val="autoZero"/>
        <c:crossBetween val="midCat"/>
      </c:valAx>
      <c:valAx>
        <c:axId val="235368960"/>
        <c:scaling>
          <c:orientation val="minMax"/>
        </c:scaling>
        <c:delete val="0"/>
        <c:axPos val="l"/>
        <c:majorGridlines>
          <c:spPr>
            <a:ln w="3175">
              <a:solidFill>
                <a:srgbClr val="000000"/>
              </a:solidFill>
              <a:prstDash val="solid"/>
            </a:ln>
          </c:spPr>
        </c:majorGridlines>
        <c:title>
          <c:tx>
            <c:rich>
              <a:bodyPr/>
              <a:lstStyle/>
              <a:p>
                <a:pPr>
                  <a:defRPr sz="900" b="1" i="0" u="none" strike="noStrike" baseline="0">
                    <a:solidFill>
                      <a:srgbClr val="000000"/>
                    </a:solidFill>
                    <a:latin typeface="Arial"/>
                    <a:ea typeface="Arial"/>
                    <a:cs typeface="Arial"/>
                  </a:defRPr>
                </a:pPr>
                <a:r>
                  <a:t>stem [kg]</a:t>
                </a:r>
              </a:p>
            </c:rich>
          </c:tx>
          <c:layout>
            <c:manualLayout>
              <c:xMode val="edge"/>
              <c:yMode val="edge"/>
              <c:x val="2.4779547165269974E-2"/>
              <c:y val="0.3802591580926256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35368384"/>
        <c:crosses val="autoZero"/>
        <c:crossBetween val="midCat"/>
      </c:valAx>
      <c:spPr>
        <a:noFill/>
        <a:ln w="12700">
          <a:solidFill>
            <a:srgbClr val="808080"/>
          </a:solidFill>
          <a:prstDash val="solid"/>
        </a:ln>
      </c:spPr>
    </c:plotArea>
    <c:legend>
      <c:legendPos val="r"/>
      <c:layout>
        <c:manualLayout>
          <c:xMode val="edge"/>
          <c:yMode val="edge"/>
          <c:x val="0.35753346624175247"/>
          <c:y val="0.56298109120206907"/>
          <c:w val="0.24779547165269974"/>
          <c:h val="0.10123782780388084"/>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948945465957466"/>
          <c:y val="8.7099483705272138E-2"/>
          <c:w val="0.61589959211227585"/>
          <c:h val="0.709699496857773"/>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linear"/>
            <c:intercept val="0"/>
            <c:dispRSqr val="1"/>
            <c:dispEq val="1"/>
            <c:trendlineLbl>
              <c:layout>
                <c:manualLayout>
                  <c:xMode val="edge"/>
                  <c:yMode val="edge"/>
                  <c:x val="0.75109706355155581"/>
                  <c:y val="3.2259068038989681E-2"/>
                </c:manualLayout>
              </c:layout>
              <c:numFmt formatCode="General" sourceLinked="0"/>
              <c:spPr>
                <a:noFill/>
                <a:ln w="25400">
                  <a:noFill/>
                </a:ln>
              </c:spPr>
              <c:txPr>
                <a:bodyPr/>
                <a:lstStyle/>
                <a:p>
                  <a:pPr>
                    <a:defRPr sz="1075" b="0" i="0" u="none" strike="noStrike" baseline="0">
                      <a:solidFill>
                        <a:srgbClr val="000000"/>
                      </a:solidFill>
                      <a:latin typeface="Arial"/>
                      <a:ea typeface="Arial"/>
                      <a:cs typeface="Arial"/>
                    </a:defRPr>
                  </a:pPr>
                  <a:endParaRPr lang="de-DE"/>
                </a:p>
              </c:txPr>
            </c:trendlineLbl>
          </c:trendline>
          <c:xVal>
            <c:numRef>
              <c:f>LeThiec!$E$7:$E$10</c:f>
              <c:numCache>
                <c:formatCode>General</c:formatCode>
                <c:ptCount val="4"/>
                <c:pt idx="0">
                  <c:v>6.8400000000000002E-2</c:v>
                </c:pt>
                <c:pt idx="1">
                  <c:v>3.7600000000000001E-2</c:v>
                </c:pt>
                <c:pt idx="2">
                  <c:v>4.8600000000000004E-2</c:v>
                </c:pt>
                <c:pt idx="3">
                  <c:v>4.3700000000000003E-2</c:v>
                </c:pt>
              </c:numCache>
            </c:numRef>
          </c:xVal>
          <c:yVal>
            <c:numRef>
              <c:f>LeThiec!$C$7:$C$10</c:f>
              <c:numCache>
                <c:formatCode>General</c:formatCode>
                <c:ptCount val="4"/>
                <c:pt idx="0">
                  <c:v>9.6599999999999991E-2</c:v>
                </c:pt>
                <c:pt idx="1">
                  <c:v>7.0699999999999999E-2</c:v>
                </c:pt>
                <c:pt idx="2">
                  <c:v>6.1899999999999997E-2</c:v>
                </c:pt>
                <c:pt idx="3">
                  <c:v>5.91E-2</c:v>
                </c:pt>
              </c:numCache>
            </c:numRef>
          </c:yVal>
          <c:smooth val="0"/>
        </c:ser>
        <c:dLbls>
          <c:showLegendKey val="0"/>
          <c:showVal val="0"/>
          <c:showCatName val="0"/>
          <c:showSerName val="0"/>
          <c:showPercent val="0"/>
          <c:showBubbleSize val="0"/>
        </c:dLbls>
        <c:axId val="235370688"/>
        <c:axId val="235371264"/>
      </c:scatterChart>
      <c:valAx>
        <c:axId val="235370688"/>
        <c:scaling>
          <c:orientation val="minMax"/>
        </c:scaling>
        <c:delete val="0"/>
        <c:axPos val="b"/>
        <c:title>
          <c:tx>
            <c:rich>
              <a:bodyPr/>
              <a:lstStyle/>
              <a:p>
                <a:pPr>
                  <a:defRPr sz="800" b="1" i="0" u="none" strike="noStrike" baseline="0">
                    <a:solidFill>
                      <a:srgbClr val="000000"/>
                    </a:solidFill>
                    <a:latin typeface="Arial"/>
                    <a:ea typeface="Arial"/>
                    <a:cs typeface="Arial"/>
                  </a:defRPr>
                </a:pPr>
                <a:r>
                  <a:t>stem [kg]</a:t>
                </a:r>
              </a:p>
            </c:rich>
          </c:tx>
          <c:layout>
            <c:manualLayout>
              <c:xMode val="edge"/>
              <c:yMode val="edge"/>
              <c:x val="0.38413249821636714"/>
              <c:y val="0.8838984642683173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35371264"/>
        <c:crosses val="autoZero"/>
        <c:crossBetween val="midCat"/>
      </c:valAx>
      <c:valAx>
        <c:axId val="235371264"/>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needle [kg]</a:t>
                </a:r>
              </a:p>
            </c:rich>
          </c:tx>
          <c:layout>
            <c:manualLayout>
              <c:xMode val="edge"/>
              <c:yMode val="edge"/>
              <c:x val="2.7897890931914932E-2"/>
              <c:y val="0.335494307605492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35370688"/>
        <c:crosses val="autoZero"/>
        <c:crossBetween val="midCat"/>
      </c:valAx>
      <c:spPr>
        <a:noFill/>
        <a:ln w="12700">
          <a:solidFill>
            <a:srgbClr val="808080"/>
          </a:solidFill>
          <a:prstDash val="solid"/>
        </a:ln>
      </c:spPr>
    </c:plotArea>
    <c:legend>
      <c:legendPos val="r"/>
      <c:layout>
        <c:manualLayout>
          <c:xMode val="edge"/>
          <c:yMode val="edge"/>
          <c:x val="0.75753503838199776"/>
          <c:y val="0.48388602058484526"/>
          <c:w val="0.23391308550605597"/>
          <c:h val="0.1258103653520597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529917295867857"/>
          <c:y val="8.6819685000735974E-2"/>
          <c:w val="0.59766651411370242"/>
          <c:h val="0.7138507433393847"/>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linear"/>
            <c:intercept val="0"/>
            <c:dispRSqr val="1"/>
            <c:dispEq val="1"/>
            <c:trendlineLbl>
              <c:layout>
                <c:manualLayout>
                  <c:xMode val="edge"/>
                  <c:yMode val="edge"/>
                  <c:x val="0.69649326054195237"/>
                  <c:y val="3.2155438889161475E-2"/>
                </c:manualLayout>
              </c:layout>
              <c:numFmt formatCode="General" sourceLinked="0"/>
              <c:spPr>
                <a:noFill/>
                <a:ln w="25400">
                  <a:noFill/>
                </a:ln>
              </c:spPr>
              <c:txPr>
                <a:bodyPr/>
                <a:lstStyle/>
                <a:p>
                  <a:pPr>
                    <a:defRPr sz="1175" b="0" i="0" u="none" strike="noStrike" baseline="0">
                      <a:solidFill>
                        <a:srgbClr val="000000"/>
                      </a:solidFill>
                      <a:latin typeface="Arial"/>
                      <a:ea typeface="Arial"/>
                      <a:cs typeface="Arial"/>
                    </a:defRPr>
                  </a:pPr>
                  <a:endParaRPr lang="de-DE"/>
                </a:p>
              </c:txPr>
            </c:trendlineLbl>
          </c:trendline>
          <c:xVal>
            <c:numRef>
              <c:f>LeThiec!$E$7:$E$12</c:f>
              <c:numCache>
                <c:formatCode>General</c:formatCode>
                <c:ptCount val="6"/>
                <c:pt idx="0">
                  <c:v>6.8400000000000002E-2</c:v>
                </c:pt>
                <c:pt idx="1">
                  <c:v>3.7600000000000001E-2</c:v>
                </c:pt>
                <c:pt idx="2">
                  <c:v>4.8600000000000004E-2</c:v>
                </c:pt>
                <c:pt idx="3">
                  <c:v>4.3700000000000003E-2</c:v>
                </c:pt>
                <c:pt idx="4">
                  <c:v>3.8599999999999997E-3</c:v>
                </c:pt>
                <c:pt idx="5">
                  <c:v>9.2599999999999991E-3</c:v>
                </c:pt>
              </c:numCache>
            </c:numRef>
          </c:xVal>
          <c:yVal>
            <c:numRef>
              <c:f>LeThiec!$C$7:$C$12</c:f>
              <c:numCache>
                <c:formatCode>General</c:formatCode>
                <c:ptCount val="6"/>
                <c:pt idx="0">
                  <c:v>9.6599999999999991E-2</c:v>
                </c:pt>
                <c:pt idx="1">
                  <c:v>7.0699999999999999E-2</c:v>
                </c:pt>
                <c:pt idx="2">
                  <c:v>6.1899999999999997E-2</c:v>
                </c:pt>
                <c:pt idx="3">
                  <c:v>5.91E-2</c:v>
                </c:pt>
                <c:pt idx="4">
                  <c:v>3.2299999999999998E-3</c:v>
                </c:pt>
                <c:pt idx="5">
                  <c:v>8.6400000000000001E-3</c:v>
                </c:pt>
              </c:numCache>
            </c:numRef>
          </c:yVal>
          <c:smooth val="0"/>
        </c:ser>
        <c:dLbls>
          <c:showLegendKey val="0"/>
          <c:showVal val="0"/>
          <c:showCatName val="0"/>
          <c:showSerName val="0"/>
          <c:showPercent val="0"/>
          <c:showBubbleSize val="0"/>
        </c:dLbls>
        <c:axId val="255246912"/>
        <c:axId val="255247488"/>
      </c:scatterChart>
      <c:valAx>
        <c:axId val="255246912"/>
        <c:scaling>
          <c:orientation val="minMax"/>
        </c:scaling>
        <c:delete val="0"/>
        <c:axPos val="b"/>
        <c:title>
          <c:tx>
            <c:rich>
              <a:bodyPr/>
              <a:lstStyle/>
              <a:p>
                <a:pPr>
                  <a:defRPr sz="800" b="1" i="0" u="none" strike="noStrike" baseline="0">
                    <a:solidFill>
                      <a:srgbClr val="000000"/>
                    </a:solidFill>
                    <a:latin typeface="Arial"/>
                    <a:ea typeface="Arial"/>
                    <a:cs typeface="Arial"/>
                  </a:defRPr>
                </a:pPr>
                <a:r>
                  <a:t>needle [kg]</a:t>
                </a:r>
              </a:p>
            </c:rich>
          </c:tx>
          <c:layout>
            <c:manualLayout>
              <c:xMode val="edge"/>
              <c:yMode val="edge"/>
              <c:x val="0.37648284353619049"/>
              <c:y val="0.887490113340856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5247488"/>
        <c:crosses val="autoZero"/>
        <c:crossBetween val="midCat"/>
      </c:valAx>
      <c:valAx>
        <c:axId val="255247488"/>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stem [kg]</a:t>
                </a:r>
              </a:p>
            </c:rich>
          </c:tx>
          <c:layout>
            <c:manualLayout>
              <c:xMode val="edge"/>
              <c:yMode val="edge"/>
              <c:x val="3.2942248809416666E-2"/>
              <c:y val="0.3504942838918600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5246912"/>
        <c:crosses val="autoZero"/>
        <c:crossBetween val="midCat"/>
      </c:valAx>
      <c:spPr>
        <a:noFill/>
        <a:ln w="12700">
          <a:solidFill>
            <a:srgbClr val="808080"/>
          </a:solidFill>
          <a:prstDash val="solid"/>
        </a:ln>
      </c:spPr>
    </c:plotArea>
    <c:legend>
      <c:legendPos val="r"/>
      <c:layout>
        <c:manualLayout>
          <c:xMode val="edge"/>
          <c:yMode val="edge"/>
          <c:x val="0.40707207457350597"/>
          <c:y val="0.5627201805603258"/>
          <c:w val="0.25647893715902975"/>
          <c:h val="0.1254062116677297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00816037724686"/>
          <c:y val="6.4516207201127287E-2"/>
          <c:w val="0.75444324455652745"/>
          <c:h val="0.76426891607489245"/>
        </c:manualLayout>
      </c:layout>
      <c:scatterChart>
        <c:scatterStyle val="lineMarker"/>
        <c:varyColors val="0"/>
        <c:ser>
          <c:idx val="0"/>
          <c:order val="0"/>
          <c:tx>
            <c:v>roy_01</c:v>
          </c:tx>
          <c:spPr>
            <a:ln w="28575">
              <a:noFill/>
            </a:ln>
          </c:spPr>
          <c:marker>
            <c:symbol val="diamond"/>
            <c:size val="5"/>
            <c:spPr>
              <a:solidFill>
                <a:srgbClr val="000080"/>
              </a:solidFill>
              <a:ln>
                <a:solidFill>
                  <a:srgbClr val="000080"/>
                </a:solidFill>
                <a:prstDash val="solid"/>
              </a:ln>
            </c:spPr>
          </c:marker>
          <c:xVal>
            <c:numRef>
              <c:f>'roy-01'!$D$9:$D$12</c:f>
              <c:numCache>
                <c:formatCode>General</c:formatCode>
                <c:ptCount val="4"/>
                <c:pt idx="0">
                  <c:v>0.76</c:v>
                </c:pt>
                <c:pt idx="1">
                  <c:v>0.8</c:v>
                </c:pt>
                <c:pt idx="2">
                  <c:v>0.94</c:v>
                </c:pt>
                <c:pt idx="3">
                  <c:v>0.93</c:v>
                </c:pt>
              </c:numCache>
            </c:numRef>
          </c:xVal>
          <c:yVal>
            <c:numRef>
              <c:f>'roy-01'!$B$9:$B$12</c:f>
              <c:numCache>
                <c:formatCode>General</c:formatCode>
                <c:ptCount val="4"/>
                <c:pt idx="0">
                  <c:v>12.3</c:v>
                </c:pt>
                <c:pt idx="1">
                  <c:v>13.5</c:v>
                </c:pt>
                <c:pt idx="2">
                  <c:v>13.1</c:v>
                </c:pt>
                <c:pt idx="3">
                  <c:v>15</c:v>
                </c:pt>
              </c:numCache>
            </c:numRef>
          </c:yVal>
          <c:smooth val="0"/>
        </c:ser>
        <c:ser>
          <c:idx val="1"/>
          <c:order val="1"/>
          <c:tx>
            <c:v>baq-01</c:v>
          </c:tx>
          <c:spPr>
            <a:ln w="28575">
              <a:noFill/>
            </a:ln>
          </c:spPr>
          <c:marker>
            <c:symbol val="square"/>
            <c:size val="5"/>
            <c:spPr>
              <a:solidFill>
                <a:srgbClr val="FF00FF"/>
              </a:solidFill>
              <a:ln>
                <a:solidFill>
                  <a:srgbClr val="FF00FF"/>
                </a:solidFill>
                <a:prstDash val="solid"/>
              </a:ln>
            </c:spPr>
          </c:marker>
          <c:xVal>
            <c:numRef>
              <c:f>'baq-01'!$C$30:$C$31</c:f>
              <c:numCache>
                <c:formatCode>General</c:formatCode>
                <c:ptCount val="2"/>
                <c:pt idx="0">
                  <c:v>3.86</c:v>
                </c:pt>
                <c:pt idx="1">
                  <c:v>9.26</c:v>
                </c:pt>
              </c:numCache>
            </c:numRef>
          </c:xVal>
          <c:yVal>
            <c:numRef>
              <c:f>'baq-01'!$B$30:$B$31</c:f>
              <c:numCache>
                <c:formatCode>General</c:formatCode>
                <c:ptCount val="2"/>
                <c:pt idx="0">
                  <c:v>19.53</c:v>
                </c:pt>
                <c:pt idx="1">
                  <c:v>32.549999999999997</c:v>
                </c:pt>
              </c:numCache>
            </c:numRef>
          </c:yVal>
          <c:smooth val="0"/>
        </c:ser>
        <c:dLbls>
          <c:showLegendKey val="0"/>
          <c:showVal val="0"/>
          <c:showCatName val="0"/>
          <c:showSerName val="0"/>
          <c:showPercent val="0"/>
          <c:showBubbleSize val="0"/>
        </c:dLbls>
        <c:axId val="216630400"/>
        <c:axId val="216630976"/>
      </c:scatterChart>
      <c:valAx>
        <c:axId val="216630400"/>
        <c:scaling>
          <c:orientation val="minMax"/>
        </c:scaling>
        <c:delete val="0"/>
        <c:axPos val="b"/>
        <c:title>
          <c:tx>
            <c:rich>
              <a:bodyPr/>
              <a:lstStyle/>
              <a:p>
                <a:pPr>
                  <a:defRPr sz="1000" b="1" i="0" u="none" strike="noStrike" baseline="0">
                    <a:solidFill>
                      <a:srgbClr val="000000"/>
                    </a:solidFill>
                    <a:latin typeface="Arial"/>
                    <a:ea typeface="Arial"/>
                    <a:cs typeface="Arial"/>
                  </a:defRPr>
                </a:pPr>
                <a:r>
                  <a:t>shoot [g]</a:t>
                </a:r>
              </a:p>
            </c:rich>
          </c:tx>
          <c:layout>
            <c:manualLayout>
              <c:xMode val="edge"/>
              <c:yMode val="edge"/>
              <c:x val="0.43457223294583702"/>
              <c:y val="0.9057082934004407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6630976"/>
        <c:crosses val="autoZero"/>
        <c:crossBetween val="midCat"/>
      </c:valAx>
      <c:valAx>
        <c:axId val="21663097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height [cm]</a:t>
                </a:r>
              </a:p>
            </c:rich>
          </c:tx>
          <c:layout>
            <c:manualLayout>
              <c:xMode val="edge"/>
              <c:yMode val="edge"/>
              <c:x val="2.5848162554399229E-2"/>
              <c:y val="0.3548391396062001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6630400"/>
        <c:crosses val="autoZero"/>
        <c:crossBetween val="midCat"/>
      </c:valAx>
      <c:spPr>
        <a:noFill/>
        <a:ln w="12700">
          <a:solidFill>
            <a:srgbClr val="808080"/>
          </a:solidFill>
          <a:prstDash val="solid"/>
        </a:ln>
      </c:spPr>
    </c:plotArea>
    <c:legend>
      <c:legendPos val="r"/>
      <c:layout>
        <c:manualLayout>
          <c:xMode val="edge"/>
          <c:yMode val="edge"/>
          <c:x val="0.89176160812677341"/>
          <c:y val="0.39454142096073996"/>
          <c:w val="9.5315099419347155E-2"/>
          <c:h val="0.10669988114032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83870967741936"/>
          <c:y val="6.4356435643564358E-2"/>
          <c:w val="0.6"/>
          <c:h val="0.72277227722772275"/>
        </c:manualLayout>
      </c:layout>
      <c:scatterChart>
        <c:scatterStyle val="lineMarker"/>
        <c:varyColors val="0"/>
        <c:ser>
          <c:idx val="1"/>
          <c:order val="0"/>
          <c:spPr>
            <a:ln w="28575">
              <a:noFill/>
            </a:ln>
          </c:spPr>
          <c:marker>
            <c:symbol val="square"/>
            <c:size val="5"/>
            <c:spPr>
              <a:solidFill>
                <a:srgbClr val="FF00FF"/>
              </a:solidFill>
              <a:ln>
                <a:solidFill>
                  <a:srgbClr val="FF00FF"/>
                </a:solidFill>
                <a:prstDash val="solid"/>
              </a:ln>
            </c:spPr>
          </c:marker>
          <c:trendline>
            <c:spPr>
              <a:ln w="25400">
                <a:solidFill>
                  <a:srgbClr val="000000"/>
                </a:solidFill>
                <a:prstDash val="solid"/>
              </a:ln>
            </c:spPr>
            <c:trendlineType val="power"/>
            <c:dispRSqr val="1"/>
            <c:dispEq val="1"/>
            <c:trendlineLbl>
              <c:layout>
                <c:manualLayout>
                  <c:xMode val="edge"/>
                  <c:yMode val="edge"/>
                  <c:x val="0.73225806451612907"/>
                  <c:y val="5.9405940594059403E-2"/>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trendlineLbl>
          </c:trendline>
          <c:xVal>
            <c:numRef>
              <c:f>'roy-01'!$I$9:$I$14</c:f>
              <c:numCache>
                <c:formatCode>General</c:formatCode>
                <c:ptCount val="6"/>
                <c:pt idx="0">
                  <c:v>760</c:v>
                </c:pt>
                <c:pt idx="1">
                  <c:v>800</c:v>
                </c:pt>
                <c:pt idx="2">
                  <c:v>940</c:v>
                </c:pt>
                <c:pt idx="3">
                  <c:v>930</c:v>
                </c:pt>
                <c:pt idx="4">
                  <c:v>3860</c:v>
                </c:pt>
                <c:pt idx="5">
                  <c:v>9260</c:v>
                </c:pt>
              </c:numCache>
            </c:numRef>
          </c:xVal>
          <c:yVal>
            <c:numRef>
              <c:f>'roy-01'!$B$9:$B$14</c:f>
              <c:numCache>
                <c:formatCode>General</c:formatCode>
                <c:ptCount val="6"/>
                <c:pt idx="0">
                  <c:v>12.3</c:v>
                </c:pt>
                <c:pt idx="1">
                  <c:v>13.5</c:v>
                </c:pt>
                <c:pt idx="2">
                  <c:v>13.1</c:v>
                </c:pt>
                <c:pt idx="3">
                  <c:v>15</c:v>
                </c:pt>
                <c:pt idx="4">
                  <c:v>19.53</c:v>
                </c:pt>
                <c:pt idx="5">
                  <c:v>32.549999999999997</c:v>
                </c:pt>
              </c:numCache>
            </c:numRef>
          </c:yVal>
          <c:smooth val="0"/>
        </c:ser>
        <c:dLbls>
          <c:showLegendKey val="0"/>
          <c:showVal val="0"/>
          <c:showCatName val="0"/>
          <c:showSerName val="0"/>
          <c:showPercent val="0"/>
          <c:showBubbleSize val="0"/>
        </c:dLbls>
        <c:axId val="216632704"/>
        <c:axId val="216633280"/>
      </c:scatterChart>
      <c:valAx>
        <c:axId val="216632704"/>
        <c:scaling>
          <c:orientation val="minMax"/>
        </c:scaling>
        <c:delete val="0"/>
        <c:axPos val="b"/>
        <c:title>
          <c:tx>
            <c:rich>
              <a:bodyPr/>
              <a:lstStyle/>
              <a:p>
                <a:pPr>
                  <a:defRPr sz="1000" b="1" i="0" u="none" strike="noStrike" baseline="0">
                    <a:solidFill>
                      <a:srgbClr val="000000"/>
                    </a:solidFill>
                    <a:latin typeface="Arial"/>
                    <a:ea typeface="Arial"/>
                    <a:cs typeface="Arial"/>
                  </a:defRPr>
                </a:pPr>
                <a:r>
                  <a:t>shoot [mg]
</a:t>
                </a:r>
              </a:p>
            </c:rich>
          </c:tx>
          <c:layout>
            <c:manualLayout>
              <c:xMode val="edge"/>
              <c:yMode val="edge"/>
              <c:x val="0.34838709677419355"/>
              <c:y val="0.8638613861386138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6633280"/>
        <c:crosses val="autoZero"/>
        <c:crossBetween val="midCat"/>
      </c:valAx>
      <c:valAx>
        <c:axId val="216633280"/>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height [cm]</a:t>
                </a:r>
              </a:p>
            </c:rich>
          </c:tx>
          <c:layout>
            <c:manualLayout>
              <c:xMode val="edge"/>
              <c:yMode val="edge"/>
              <c:x val="2.5806451612903226E-2"/>
              <c:y val="0.3341584158415841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6632704"/>
        <c:crosses val="autoZero"/>
        <c:crossBetween val="midCat"/>
      </c:valAx>
      <c:spPr>
        <a:noFill/>
        <a:ln w="25400">
          <a:noFill/>
        </a:ln>
      </c:spPr>
    </c:plotArea>
    <c:legend>
      <c:legendPos val="r"/>
      <c:layout>
        <c:manualLayout>
          <c:xMode val="edge"/>
          <c:yMode val="edge"/>
          <c:x val="0.75322580645161286"/>
          <c:y val="0.37376237623762376"/>
          <c:w val="0.23387096774193547"/>
          <c:h val="0.1064356435643564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090909090912E-2"/>
          <c:y val="6.7750856810152041E-2"/>
          <c:w val="0.55813953488372092"/>
          <c:h val="0.8211403845390427"/>
        </c:manualLayout>
      </c:layout>
      <c:scatterChart>
        <c:scatterStyle val="smoothMarker"/>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exp"/>
            <c:dispRSqr val="1"/>
            <c:dispEq val="1"/>
            <c:trendlineLbl>
              <c:numFmt formatCode="General" sourceLinked="0"/>
              <c:spPr>
                <a:noFill/>
                <a:ln w="25400">
                  <a:noFill/>
                </a:ln>
              </c:spPr>
              <c:txPr>
                <a:bodyPr/>
                <a:lstStyle/>
                <a:p>
                  <a:pPr>
                    <a:defRPr sz="850" b="0" i="0" u="none" strike="noStrike" baseline="0">
                      <a:solidFill>
                        <a:srgbClr val="000000"/>
                      </a:solidFill>
                      <a:latin typeface="Arial"/>
                      <a:ea typeface="Arial"/>
                      <a:cs typeface="Arial"/>
                    </a:defRPr>
                  </a:pPr>
                  <a:endParaRPr lang="de-DE"/>
                </a:p>
              </c:txPr>
            </c:trendlineLbl>
          </c:trendline>
          <c:xVal>
            <c:numRef>
              <c:f>Growth_comp!$E$5:$E$12</c:f>
              <c:numCache>
                <c:formatCode>General</c:formatCode>
                <c:ptCount val="8"/>
                <c:pt idx="0">
                  <c:v>5.44</c:v>
                </c:pt>
                <c:pt idx="1">
                  <c:v>11.93</c:v>
                </c:pt>
                <c:pt idx="2">
                  <c:v>15.6</c:v>
                </c:pt>
                <c:pt idx="3">
                  <c:v>17.760000000000002</c:v>
                </c:pt>
                <c:pt idx="4">
                  <c:v>20</c:v>
                </c:pt>
                <c:pt idx="5">
                  <c:v>25.89</c:v>
                </c:pt>
                <c:pt idx="6">
                  <c:v>26.82</c:v>
                </c:pt>
                <c:pt idx="7">
                  <c:v>30.38</c:v>
                </c:pt>
              </c:numCache>
            </c:numRef>
          </c:xVal>
          <c:yVal>
            <c:numRef>
              <c:f>Growth_comp!$H$5:$H$12</c:f>
              <c:numCache>
                <c:formatCode>General</c:formatCode>
                <c:ptCount val="8"/>
                <c:pt idx="0">
                  <c:v>19.879582079999999</c:v>
                </c:pt>
                <c:pt idx="1">
                  <c:v>10.593274720000004</c:v>
                </c:pt>
                <c:pt idx="2">
                  <c:v>14.768208000000008</c:v>
                </c:pt>
                <c:pt idx="3">
                  <c:v>20.40884928000002</c:v>
                </c:pt>
                <c:pt idx="4">
                  <c:v>28.75</c:v>
                </c:pt>
                <c:pt idx="5">
                  <c:v>62.788262879999991</c:v>
                </c:pt>
                <c:pt idx="6">
                  <c:v>69.766134719999997</c:v>
                </c:pt>
                <c:pt idx="7">
                  <c:v>100.51798431999998</c:v>
                </c:pt>
              </c:numCache>
            </c:numRef>
          </c:yVal>
          <c:smooth val="1"/>
        </c:ser>
        <c:ser>
          <c:idx val="1"/>
          <c:order val="1"/>
          <c:spPr>
            <a:ln w="12700">
              <a:solidFill>
                <a:srgbClr val="FF00FF"/>
              </a:solidFill>
              <a:prstDash val="solid"/>
            </a:ln>
          </c:spPr>
          <c:marker>
            <c:symbol val="square"/>
            <c:size val="5"/>
            <c:spPr>
              <a:solidFill>
                <a:srgbClr val="FF00FF"/>
              </a:solidFill>
              <a:ln>
                <a:solidFill>
                  <a:srgbClr val="FF00FF"/>
                </a:solidFill>
                <a:prstDash val="solid"/>
              </a:ln>
            </c:spPr>
          </c:marker>
          <c:xVal>
            <c:numRef>
              <c:f>Growth_comp!$E$13:$E$20</c:f>
              <c:numCache>
                <c:formatCode>General</c:formatCode>
                <c:ptCount val="8"/>
                <c:pt idx="0">
                  <c:v>5.17</c:v>
                </c:pt>
                <c:pt idx="1">
                  <c:v>8.4700000000000006</c:v>
                </c:pt>
                <c:pt idx="2">
                  <c:v>10.62</c:v>
                </c:pt>
                <c:pt idx="3">
                  <c:v>11.24</c:v>
                </c:pt>
                <c:pt idx="4">
                  <c:v>14.16</c:v>
                </c:pt>
                <c:pt idx="5">
                  <c:v>17.329999999999998</c:v>
                </c:pt>
                <c:pt idx="6">
                  <c:v>16.940000000000001</c:v>
                </c:pt>
                <c:pt idx="7">
                  <c:v>20.57</c:v>
                </c:pt>
              </c:numCache>
            </c:numRef>
          </c:xVal>
          <c:yVal>
            <c:numRef>
              <c:f>Growth_comp!$H$13:$H$20</c:f>
              <c:numCache>
                <c:formatCode>General</c:formatCode>
                <c:ptCount val="8"/>
                <c:pt idx="0">
                  <c:v>20.727325919999998</c:v>
                </c:pt>
                <c:pt idx="1">
                  <c:v>12.89375952</c:v>
                </c:pt>
                <c:pt idx="2">
                  <c:v>10.752256320000001</c:v>
                </c:pt>
                <c:pt idx="3">
                  <c:v>10.568865279999997</c:v>
                </c:pt>
                <c:pt idx="4">
                  <c:v>12.318295680000006</c:v>
                </c:pt>
                <c:pt idx="5">
                  <c:v>19.097885920000003</c:v>
                </c:pt>
                <c:pt idx="6">
                  <c:v>17.98971808000001</c:v>
                </c:pt>
                <c:pt idx="7">
                  <c:v>31.277434720000016</c:v>
                </c:pt>
              </c:numCache>
            </c:numRef>
          </c:yVal>
          <c:smooth val="1"/>
        </c:ser>
        <c:dLbls>
          <c:showLegendKey val="0"/>
          <c:showVal val="0"/>
          <c:showCatName val="0"/>
          <c:showSerName val="0"/>
          <c:showPercent val="0"/>
          <c:showBubbleSize val="0"/>
        </c:dLbls>
        <c:axId val="253557504"/>
        <c:axId val="253558080"/>
      </c:scatterChart>
      <c:valAx>
        <c:axId val="253557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253558080"/>
        <c:crosses val="autoZero"/>
        <c:crossBetween val="midCat"/>
      </c:valAx>
      <c:valAx>
        <c:axId val="2535580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253557504"/>
        <c:crosses val="autoZero"/>
        <c:crossBetween val="midCat"/>
      </c:valAx>
      <c:spPr>
        <a:solidFill>
          <a:srgbClr val="C0C0C0"/>
        </a:solidFill>
        <a:ln w="12700">
          <a:solidFill>
            <a:srgbClr val="808080"/>
          </a:solidFill>
          <a:prstDash val="solid"/>
        </a:ln>
      </c:spPr>
    </c:plotArea>
    <c:legend>
      <c:legendPos val="r"/>
      <c:layout>
        <c:manualLayout>
          <c:xMode val="edge"/>
          <c:yMode val="edge"/>
          <c:x val="0.68921775898520088"/>
          <c:y val="0.40108507231610008"/>
          <c:w val="0.29386892177589852"/>
          <c:h val="0.15718198779955272"/>
        </c:manualLayout>
      </c:layout>
      <c:overlay val="0"/>
      <c:spPr>
        <a:solidFill>
          <a:srgbClr val="FFFFFF"/>
        </a:solidFill>
        <a:ln w="3175">
          <a:solidFill>
            <a:srgbClr val="000000"/>
          </a:solidFill>
          <a:prstDash val="solid"/>
        </a:ln>
      </c:spPr>
      <c:txPr>
        <a:bodyPr/>
        <a:lstStyle/>
        <a:p>
          <a:pPr>
            <a:defRPr sz="78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709837488476484E-2"/>
          <c:y val="7.0270363004596451E-2"/>
          <c:w val="0.62460615927993091"/>
          <c:h val="0.80810917455285913"/>
        </c:manualLayout>
      </c:layout>
      <c:scatterChart>
        <c:scatterStyle val="smoothMarker"/>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exp"/>
            <c:dispRSqr val="1"/>
            <c:dispEq val="1"/>
            <c:trendlineLbl>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Growth_comp!$E$5:$E$12</c:f>
              <c:numCache>
                <c:formatCode>General</c:formatCode>
                <c:ptCount val="8"/>
                <c:pt idx="0">
                  <c:v>5.44</c:v>
                </c:pt>
                <c:pt idx="1">
                  <c:v>11.93</c:v>
                </c:pt>
                <c:pt idx="2">
                  <c:v>15.6</c:v>
                </c:pt>
                <c:pt idx="3">
                  <c:v>17.760000000000002</c:v>
                </c:pt>
                <c:pt idx="4">
                  <c:v>20</c:v>
                </c:pt>
                <c:pt idx="5">
                  <c:v>25.89</c:v>
                </c:pt>
                <c:pt idx="6">
                  <c:v>26.82</c:v>
                </c:pt>
                <c:pt idx="7">
                  <c:v>30.38</c:v>
                </c:pt>
              </c:numCache>
            </c:numRef>
          </c:xVal>
          <c:yVal>
            <c:numRef>
              <c:f>Growth_comp!$L$5:$L$12</c:f>
              <c:numCache>
                <c:formatCode>General</c:formatCode>
                <c:ptCount val="8"/>
                <c:pt idx="0">
                  <c:v>17.89440768</c:v>
                </c:pt>
                <c:pt idx="1">
                  <c:v>39.677482620000006</c:v>
                </c:pt>
                <c:pt idx="2">
                  <c:v>60.340367999999998</c:v>
                </c:pt>
                <c:pt idx="3">
                  <c:v>75.319898880000011</c:v>
                </c:pt>
                <c:pt idx="4">
                  <c:v>93.06</c:v>
                </c:pt>
                <c:pt idx="5">
                  <c:v>150.42378197999997</c:v>
                </c:pt>
                <c:pt idx="6">
                  <c:v>160.90069511999999</c:v>
                </c:pt>
                <c:pt idx="7">
                  <c:v>204.58317671999998</c:v>
                </c:pt>
              </c:numCache>
            </c:numRef>
          </c:yVal>
          <c:smooth val="1"/>
        </c:ser>
        <c:ser>
          <c:idx val="1"/>
          <c:order val="1"/>
          <c:spPr>
            <a:ln w="12700">
              <a:solidFill>
                <a:srgbClr val="FF00FF"/>
              </a:solidFill>
              <a:prstDash val="solid"/>
            </a:ln>
          </c:spPr>
          <c:marker>
            <c:symbol val="square"/>
            <c:size val="5"/>
            <c:spPr>
              <a:solidFill>
                <a:srgbClr val="FF00FF"/>
              </a:solidFill>
              <a:ln>
                <a:solidFill>
                  <a:srgbClr val="FF00FF"/>
                </a:solidFill>
                <a:prstDash val="solid"/>
              </a:ln>
            </c:spPr>
          </c:marker>
          <c:xVal>
            <c:numRef>
              <c:f>Growth_comp!$E$13:$E$20</c:f>
              <c:numCache>
                <c:formatCode>General</c:formatCode>
                <c:ptCount val="8"/>
                <c:pt idx="0">
                  <c:v>5.17</c:v>
                </c:pt>
                <c:pt idx="1">
                  <c:v>8.4700000000000006</c:v>
                </c:pt>
                <c:pt idx="2">
                  <c:v>10.62</c:v>
                </c:pt>
                <c:pt idx="3">
                  <c:v>11.24</c:v>
                </c:pt>
                <c:pt idx="4">
                  <c:v>14.16</c:v>
                </c:pt>
                <c:pt idx="5">
                  <c:v>17.329999999999998</c:v>
                </c:pt>
                <c:pt idx="6">
                  <c:v>16.940000000000001</c:v>
                </c:pt>
                <c:pt idx="7">
                  <c:v>20.57</c:v>
                </c:pt>
              </c:numCache>
            </c:numRef>
          </c:xVal>
          <c:yVal>
            <c:numRef>
              <c:f>Growth_comp!$L$13:$L$20</c:f>
              <c:numCache>
                <c:formatCode>General</c:formatCode>
                <c:ptCount val="8"/>
                <c:pt idx="0">
                  <c:v>17.396657820000001</c:v>
                </c:pt>
                <c:pt idx="1">
                  <c:v>25.718043420000004</c:v>
                </c:pt>
                <c:pt idx="2">
                  <c:v>33.761928719999993</c:v>
                </c:pt>
                <c:pt idx="3">
                  <c:v>36.46591488</c:v>
                </c:pt>
                <c:pt idx="4">
                  <c:v>51.514193279999994</c:v>
                </c:pt>
                <c:pt idx="5">
                  <c:v>72.171377819999989</c:v>
                </c:pt>
                <c:pt idx="6">
                  <c:v>69.38731368000002</c:v>
                </c:pt>
                <c:pt idx="7">
                  <c:v>97.932682619999994</c:v>
                </c:pt>
              </c:numCache>
            </c:numRef>
          </c:yVal>
          <c:smooth val="1"/>
        </c:ser>
        <c:dLbls>
          <c:showLegendKey val="0"/>
          <c:showVal val="0"/>
          <c:showCatName val="0"/>
          <c:showSerName val="0"/>
          <c:showPercent val="0"/>
          <c:showBubbleSize val="0"/>
        </c:dLbls>
        <c:axId val="254518400"/>
        <c:axId val="254518976"/>
      </c:scatterChart>
      <c:valAx>
        <c:axId val="254518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18976"/>
        <c:crosses val="autoZero"/>
        <c:crossBetween val="midCat"/>
      </c:valAx>
      <c:valAx>
        <c:axId val="2545189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18400"/>
        <c:crosses val="autoZero"/>
        <c:crossBetween val="midCat"/>
      </c:valAx>
      <c:spPr>
        <a:solidFill>
          <a:srgbClr val="C0C0C0"/>
        </a:solidFill>
        <a:ln w="12700">
          <a:solidFill>
            <a:srgbClr val="808080"/>
          </a:solidFill>
          <a:prstDash val="solid"/>
        </a:ln>
      </c:spPr>
    </c:plotArea>
    <c:legend>
      <c:legendPos val="r"/>
      <c:layout>
        <c:manualLayout>
          <c:xMode val="edge"/>
          <c:yMode val="edge"/>
          <c:x val="0.7318617623886059"/>
          <c:y val="0.38918970279468801"/>
          <c:w val="0.25552070152360812"/>
          <c:h val="0.17297320124208357"/>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53389723306824"/>
          <c:y val="6.5989929496561572E-2"/>
          <c:w val="0.70121016368834277"/>
          <c:h val="0.75888418921045819"/>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power"/>
            <c:dispRSqr val="1"/>
            <c:dispEq val="1"/>
            <c:trendlineLbl>
              <c:layout>
                <c:manualLayout>
                  <c:xMode val="edge"/>
                  <c:yMode val="edge"/>
                  <c:x val="0.81865423051299135"/>
                  <c:y val="7.8680300553592653E-2"/>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Growth_comp!$I$5:$I$20</c:f>
              <c:numCache>
                <c:formatCode>General</c:formatCode>
                <c:ptCount val="16"/>
                <c:pt idx="3">
                  <c:v>2.0408849280000019E-2</c:v>
                </c:pt>
                <c:pt idx="4">
                  <c:v>2.8750000000000001E-2</c:v>
                </c:pt>
                <c:pt idx="5">
                  <c:v>6.2788262879999987E-2</c:v>
                </c:pt>
                <c:pt idx="6">
                  <c:v>6.9766134719999998E-2</c:v>
                </c:pt>
                <c:pt idx="7">
                  <c:v>0.10051798431999998</c:v>
                </c:pt>
                <c:pt idx="11">
                  <c:v>1.0568865279999997E-2</c:v>
                </c:pt>
                <c:pt idx="12">
                  <c:v>1.2318295680000006E-2</c:v>
                </c:pt>
                <c:pt idx="13">
                  <c:v>1.9097885920000002E-2</c:v>
                </c:pt>
                <c:pt idx="14">
                  <c:v>1.7989718080000008E-2</c:v>
                </c:pt>
                <c:pt idx="15">
                  <c:v>3.1277434720000018E-2</c:v>
                </c:pt>
              </c:numCache>
            </c:numRef>
          </c:xVal>
          <c:yVal>
            <c:numRef>
              <c:f>Growth_comp!$M$5:$M$20</c:f>
              <c:numCache>
                <c:formatCode>General</c:formatCode>
                <c:ptCount val="16"/>
                <c:pt idx="3">
                  <c:v>7.5319898880000014E-2</c:v>
                </c:pt>
                <c:pt idx="4">
                  <c:v>9.3060000000000004E-2</c:v>
                </c:pt>
                <c:pt idx="5">
                  <c:v>0.15042378197999998</c:v>
                </c:pt>
                <c:pt idx="6">
                  <c:v>0.16090069511999999</c:v>
                </c:pt>
                <c:pt idx="7">
                  <c:v>0.20458317671999998</c:v>
                </c:pt>
                <c:pt idx="11">
                  <c:v>3.6465914879999999E-2</c:v>
                </c:pt>
                <c:pt idx="12">
                  <c:v>5.1514193279999995E-2</c:v>
                </c:pt>
                <c:pt idx="13">
                  <c:v>7.2171377819999993E-2</c:v>
                </c:pt>
                <c:pt idx="14">
                  <c:v>6.9387313680000021E-2</c:v>
                </c:pt>
                <c:pt idx="15">
                  <c:v>9.7932682619999989E-2</c:v>
                </c:pt>
              </c:numCache>
            </c:numRef>
          </c:yVal>
          <c:smooth val="0"/>
        </c:ser>
        <c:ser>
          <c:idx val="1"/>
          <c:order val="1"/>
          <c:tx>
            <c:v>BM_needle_alt</c:v>
          </c:tx>
          <c:spPr>
            <a:ln w="28575">
              <a:noFill/>
            </a:ln>
          </c:spPr>
          <c:marker>
            <c:symbol val="square"/>
            <c:size val="5"/>
            <c:spPr>
              <a:solidFill>
                <a:srgbClr val="FF00FF"/>
              </a:solidFill>
              <a:ln>
                <a:solidFill>
                  <a:srgbClr val="FF00FF"/>
                </a:solidFill>
                <a:prstDash val="solid"/>
              </a:ln>
            </c:spPr>
          </c:marker>
          <c:xVal>
            <c:numRef>
              <c:f>Growth_comp!$I$5:$I$20</c:f>
              <c:numCache>
                <c:formatCode>General</c:formatCode>
                <c:ptCount val="16"/>
                <c:pt idx="3">
                  <c:v>2.0408849280000019E-2</c:v>
                </c:pt>
                <c:pt idx="4">
                  <c:v>2.8750000000000001E-2</c:v>
                </c:pt>
                <c:pt idx="5">
                  <c:v>6.2788262879999987E-2</c:v>
                </c:pt>
                <c:pt idx="6">
                  <c:v>6.9766134719999998E-2</c:v>
                </c:pt>
                <c:pt idx="7">
                  <c:v>0.10051798431999998</c:v>
                </c:pt>
                <c:pt idx="11">
                  <c:v>1.0568865279999997E-2</c:v>
                </c:pt>
                <c:pt idx="12">
                  <c:v>1.2318295680000006E-2</c:v>
                </c:pt>
                <c:pt idx="13">
                  <c:v>1.9097885920000002E-2</c:v>
                </c:pt>
                <c:pt idx="14">
                  <c:v>1.7989718080000008E-2</c:v>
                </c:pt>
                <c:pt idx="15">
                  <c:v>3.1277434720000018E-2</c:v>
                </c:pt>
              </c:numCache>
            </c:numRef>
          </c:xVal>
          <c:yVal>
            <c:numRef>
              <c:f>Growth_comp!$Q$5:$Q$20</c:f>
              <c:numCache>
                <c:formatCode>General</c:formatCode>
                <c:ptCount val="16"/>
                <c:pt idx="0">
                  <c:v>0</c:v>
                </c:pt>
                <c:pt idx="1">
                  <c:v>0</c:v>
                </c:pt>
                <c:pt idx="2">
                  <c:v>0</c:v>
                </c:pt>
                <c:pt idx="3">
                  <c:v>4.0413211986649641E-2</c:v>
                </c:pt>
                <c:pt idx="4">
                  <c:v>5.0471659764775835E-2</c:v>
                </c:pt>
                <c:pt idx="5">
                  <c:v>8.3768174674001744E-2</c:v>
                </c:pt>
                <c:pt idx="6">
                  <c:v>8.9693920191277324E-2</c:v>
                </c:pt>
                <c:pt idx="7">
                  <c:v>0.11366595047452013</c:v>
                </c:pt>
                <c:pt idx="8">
                  <c:v>0</c:v>
                </c:pt>
                <c:pt idx="9">
                  <c:v>0</c:v>
                </c:pt>
                <c:pt idx="10">
                  <c:v>0</c:v>
                </c:pt>
                <c:pt idx="11">
                  <c:v>2.6373020570686894E-2</c:v>
                </c:pt>
                <c:pt idx="12">
                  <c:v>2.9127701337069638E-2</c:v>
                </c:pt>
                <c:pt idx="13">
                  <c:v>3.8709908084105196E-2</c:v>
                </c:pt>
                <c:pt idx="14">
                  <c:v>3.723778809157488E-2</c:v>
                </c:pt>
                <c:pt idx="15">
                  <c:v>5.3306723135010364E-2</c:v>
                </c:pt>
              </c:numCache>
            </c:numRef>
          </c:yVal>
          <c:smooth val="0"/>
        </c:ser>
        <c:dLbls>
          <c:showLegendKey val="0"/>
          <c:showVal val="0"/>
          <c:showCatName val="0"/>
          <c:showSerName val="0"/>
          <c:showPercent val="0"/>
          <c:showBubbleSize val="0"/>
        </c:dLbls>
        <c:axId val="254520704"/>
        <c:axId val="254521280"/>
      </c:scatterChart>
      <c:valAx>
        <c:axId val="254520704"/>
        <c:scaling>
          <c:orientation val="minMax"/>
        </c:scaling>
        <c:delete val="0"/>
        <c:axPos val="b"/>
        <c:title>
          <c:tx>
            <c:rich>
              <a:bodyPr/>
              <a:lstStyle/>
              <a:p>
                <a:pPr>
                  <a:defRPr sz="1000" b="1" i="0" u="none" strike="noStrike" baseline="0">
                    <a:solidFill>
                      <a:srgbClr val="000000"/>
                    </a:solidFill>
                    <a:latin typeface="Arial"/>
                    <a:ea typeface="Arial"/>
                    <a:cs typeface="Arial"/>
                  </a:defRPr>
                </a:pPr>
                <a:r>
                  <a:t>BM-stem</a:t>
                </a:r>
              </a:p>
            </c:rich>
          </c:tx>
          <c:layout>
            <c:manualLayout>
              <c:xMode val="edge"/>
              <c:yMode val="edge"/>
              <c:x val="0.43005253881378658"/>
              <c:y val="0.9035544192606124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21280"/>
        <c:crosses val="autoZero"/>
        <c:crossBetween val="midCat"/>
      </c:valAx>
      <c:valAx>
        <c:axId val="254521280"/>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BM needle</a:t>
                </a:r>
              </a:p>
            </c:rich>
          </c:tx>
          <c:layout>
            <c:manualLayout>
              <c:xMode val="edge"/>
              <c:yMode val="edge"/>
              <c:x val="2.590677944661365E-2"/>
              <c:y val="0.3527923153854638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20704"/>
        <c:crosses val="autoZero"/>
        <c:crossBetween val="midCat"/>
      </c:valAx>
      <c:spPr>
        <a:noFill/>
        <a:ln w="12700">
          <a:solidFill>
            <a:srgbClr val="808080"/>
          </a:solidFill>
          <a:prstDash val="solid"/>
        </a:ln>
      </c:spPr>
    </c:plotArea>
    <c:legend>
      <c:legendPos val="r"/>
      <c:layout>
        <c:manualLayout>
          <c:xMode val="edge"/>
          <c:yMode val="edge"/>
          <c:x val="0.74093389217315042"/>
          <c:y val="0.82995026712983211"/>
          <c:w val="0.25043220131726529"/>
          <c:h val="0.1624367495299977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biomass-diameter-relation</a:t>
            </a:r>
          </a:p>
        </c:rich>
      </c:tx>
      <c:layout>
        <c:manualLayout>
          <c:xMode val="edge"/>
          <c:yMode val="edge"/>
          <c:x val="0.29327902240325865"/>
          <c:y val="3.8461604126154333E-2"/>
        </c:manualLayout>
      </c:layout>
      <c:overlay val="0"/>
      <c:spPr>
        <a:noFill/>
        <a:ln w="25400">
          <a:noFill/>
        </a:ln>
      </c:spPr>
    </c:title>
    <c:autoTitleDeleted val="0"/>
    <c:plotArea>
      <c:layout>
        <c:manualLayout>
          <c:layoutTarget val="inner"/>
          <c:xMode val="edge"/>
          <c:yMode val="edge"/>
          <c:x val="0.12423625254582485"/>
          <c:y val="0.22727311529091199"/>
          <c:w val="0.64969450101832993"/>
          <c:h val="0.54545547669818872"/>
        </c:manualLayout>
      </c:layout>
      <c:scatterChart>
        <c:scatterStyle val="lineMarker"/>
        <c:varyColors val="0"/>
        <c:ser>
          <c:idx val="0"/>
          <c:order val="0"/>
          <c:tx>
            <c:strRef>
              <c:f>'fue-01'!$F$10</c:f>
              <c:strCache>
                <c:ptCount val="1"/>
                <c:pt idx="0">
                  <c:v>shoot</c:v>
                </c:pt>
              </c:strCache>
            </c:strRef>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exp"/>
            <c:dispRSqr val="1"/>
            <c:dispEq val="1"/>
            <c:trendlineLbl>
              <c:layout>
                <c:manualLayout>
                  <c:xMode val="edge"/>
                  <c:yMode val="edge"/>
                  <c:x val="0.76171079429735233"/>
                  <c:y val="4.1958113592168368E-2"/>
                </c:manualLayout>
              </c:layout>
              <c:numFmt formatCode="General"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trendlineLbl>
          </c:trendline>
          <c:trendline>
            <c:spPr>
              <a:ln w="25400">
                <a:solidFill>
                  <a:srgbClr val="000000"/>
                </a:solidFill>
                <a:prstDash val="solid"/>
              </a:ln>
            </c:spPr>
            <c:trendlineType val="power"/>
            <c:dispRSqr val="1"/>
            <c:dispEq val="1"/>
            <c:trendlineLbl>
              <c:layout>
                <c:manualLayout>
                  <c:xMode val="edge"/>
                  <c:yMode val="edge"/>
                  <c:x val="0.81873727087576376"/>
                  <c:y val="0.26573471941706633"/>
                </c:manualLayout>
              </c:layout>
              <c:numFmt formatCode="General"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trendlineLbl>
          </c:trendline>
          <c:xVal>
            <c:numRef>
              <c:f>'fue-01'!$D$11:$D$13</c:f>
              <c:numCache>
                <c:formatCode>General</c:formatCode>
                <c:ptCount val="3"/>
                <c:pt idx="0">
                  <c:v>5</c:v>
                </c:pt>
                <c:pt idx="1">
                  <c:v>4.5999999999999996</c:v>
                </c:pt>
                <c:pt idx="2">
                  <c:v>5.0999999999999996</c:v>
                </c:pt>
              </c:numCache>
            </c:numRef>
          </c:xVal>
          <c:yVal>
            <c:numRef>
              <c:f>'fue-01'!$F$11:$F$13</c:f>
              <c:numCache>
                <c:formatCode>General</c:formatCode>
                <c:ptCount val="3"/>
                <c:pt idx="0">
                  <c:v>9.5</c:v>
                </c:pt>
                <c:pt idx="1">
                  <c:v>7.1</c:v>
                </c:pt>
                <c:pt idx="2">
                  <c:v>6.8</c:v>
                </c:pt>
              </c:numCache>
            </c:numRef>
          </c:yVal>
          <c:smooth val="0"/>
        </c:ser>
        <c:dLbls>
          <c:showLegendKey val="0"/>
          <c:showVal val="0"/>
          <c:showCatName val="0"/>
          <c:showSerName val="0"/>
          <c:showPercent val="0"/>
          <c:showBubbleSize val="0"/>
        </c:dLbls>
        <c:axId val="253552896"/>
        <c:axId val="253553472"/>
      </c:scatterChart>
      <c:valAx>
        <c:axId val="253552896"/>
        <c:scaling>
          <c:orientation val="minMax"/>
        </c:scaling>
        <c:delete val="0"/>
        <c:axPos val="b"/>
        <c:title>
          <c:tx>
            <c:rich>
              <a:bodyPr/>
              <a:lstStyle/>
              <a:p>
                <a:pPr>
                  <a:defRPr sz="800" b="1" i="0" u="none" strike="noStrike" baseline="0">
                    <a:solidFill>
                      <a:srgbClr val="000000"/>
                    </a:solidFill>
                    <a:latin typeface="Arial"/>
                    <a:ea typeface="Arial"/>
                    <a:cs typeface="Arial"/>
                  </a:defRPr>
                </a:pPr>
                <a:r>
                  <a:t>diameter at base (mm)</a:t>
                </a:r>
              </a:p>
            </c:rich>
          </c:tx>
          <c:layout>
            <c:manualLayout>
              <c:xMode val="edge"/>
              <c:yMode val="edge"/>
              <c:x val="0.31568228105906315"/>
              <c:y val="0.867134347571479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3553472"/>
        <c:crosses val="autoZero"/>
        <c:crossBetween val="midCat"/>
      </c:valAx>
      <c:valAx>
        <c:axId val="253553472"/>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shoot biomass (g d.w.)</a:t>
                </a:r>
              </a:p>
            </c:rich>
          </c:tx>
          <c:layout>
            <c:manualLayout>
              <c:xMode val="edge"/>
              <c:yMode val="edge"/>
              <c:x val="3.6659877800407331E-2"/>
              <c:y val="0.2727277383490943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3552896"/>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62542271397128"/>
          <c:y val="6.5989929496561572E-2"/>
          <c:w val="0.787566095177055"/>
          <c:h val="0.75888418921045819"/>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power"/>
            <c:dispRSqr val="1"/>
            <c:dispEq val="1"/>
            <c:trendlineLbl>
              <c:layout>
                <c:manualLayout>
                  <c:xMode val="edge"/>
                  <c:yMode val="edge"/>
                  <c:x val="0.67357626561195494"/>
                  <c:y val="0.32741157327140169"/>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Growth_comp!$J$5:$J$20</c:f>
              <c:numCache>
                <c:formatCode>General</c:formatCode>
                <c:ptCount val="16"/>
                <c:pt idx="3">
                  <c:v>20408.84928000002</c:v>
                </c:pt>
                <c:pt idx="4">
                  <c:v>28750</c:v>
                </c:pt>
                <c:pt idx="5">
                  <c:v>62788.262879999987</c:v>
                </c:pt>
                <c:pt idx="6">
                  <c:v>69766.134720000002</c:v>
                </c:pt>
                <c:pt idx="7">
                  <c:v>100517.98431999999</c:v>
                </c:pt>
                <c:pt idx="11">
                  <c:v>10568.865279999996</c:v>
                </c:pt>
                <c:pt idx="12">
                  <c:v>12318.295680000007</c:v>
                </c:pt>
                <c:pt idx="13">
                  <c:v>19097.885920000004</c:v>
                </c:pt>
                <c:pt idx="14">
                  <c:v>17989.71808000001</c:v>
                </c:pt>
                <c:pt idx="15">
                  <c:v>31277.434720000016</c:v>
                </c:pt>
              </c:numCache>
            </c:numRef>
          </c:xVal>
          <c:yVal>
            <c:numRef>
              <c:f>Growth_comp!$C$5:$C$20</c:f>
              <c:numCache>
                <c:formatCode>General</c:formatCode>
                <c:ptCount val="16"/>
                <c:pt idx="0">
                  <c:v>25.69</c:v>
                </c:pt>
                <c:pt idx="1">
                  <c:v>44.85</c:v>
                </c:pt>
                <c:pt idx="2">
                  <c:v>67.78</c:v>
                </c:pt>
                <c:pt idx="3">
                  <c:v>71.83</c:v>
                </c:pt>
                <c:pt idx="4">
                  <c:v>83.55</c:v>
                </c:pt>
                <c:pt idx="5">
                  <c:v>95.41</c:v>
                </c:pt>
                <c:pt idx="6">
                  <c:v>97.43</c:v>
                </c:pt>
                <c:pt idx="7">
                  <c:v>98.44</c:v>
                </c:pt>
                <c:pt idx="8">
                  <c:v>23.31</c:v>
                </c:pt>
                <c:pt idx="9">
                  <c:v>34.68</c:v>
                </c:pt>
                <c:pt idx="10">
                  <c:v>44.81</c:v>
                </c:pt>
                <c:pt idx="11">
                  <c:v>46.59</c:v>
                </c:pt>
                <c:pt idx="12">
                  <c:v>53.28</c:v>
                </c:pt>
                <c:pt idx="13">
                  <c:v>61.43</c:v>
                </c:pt>
                <c:pt idx="14">
                  <c:v>59.23</c:v>
                </c:pt>
                <c:pt idx="15">
                  <c:v>66.17</c:v>
                </c:pt>
              </c:numCache>
            </c:numRef>
          </c:yVal>
          <c:smooth val="0"/>
        </c:ser>
        <c:ser>
          <c:idx val="1"/>
          <c:order val="1"/>
          <c:tx>
            <c:v>falt</c:v>
          </c:tx>
          <c:spPr>
            <a:ln w="12700">
              <a:solidFill>
                <a:srgbClr val="FF00FF"/>
              </a:solidFill>
              <a:prstDash val="solid"/>
            </a:ln>
          </c:spPr>
          <c:marker>
            <c:symbol val="square"/>
            <c:size val="5"/>
            <c:spPr>
              <a:solidFill>
                <a:srgbClr val="FF00FF"/>
              </a:solidFill>
              <a:ln>
                <a:solidFill>
                  <a:srgbClr val="FF00FF"/>
                </a:solidFill>
                <a:prstDash val="solid"/>
              </a:ln>
            </c:spPr>
          </c:marker>
          <c:xVal>
            <c:numRef>
              <c:f>Growth_comp!$J$8:$J$20</c:f>
              <c:numCache>
                <c:formatCode>General</c:formatCode>
                <c:ptCount val="13"/>
                <c:pt idx="0">
                  <c:v>20408.84928000002</c:v>
                </c:pt>
                <c:pt idx="1">
                  <c:v>28750</c:v>
                </c:pt>
                <c:pt idx="2">
                  <c:v>62788.262879999987</c:v>
                </c:pt>
                <c:pt idx="3">
                  <c:v>69766.134720000002</c:v>
                </c:pt>
                <c:pt idx="4">
                  <c:v>100517.98431999999</c:v>
                </c:pt>
                <c:pt idx="8">
                  <c:v>10568.865279999996</c:v>
                </c:pt>
                <c:pt idx="9">
                  <c:v>12318.295680000007</c:v>
                </c:pt>
                <c:pt idx="10">
                  <c:v>19097.885920000004</c:v>
                </c:pt>
                <c:pt idx="11">
                  <c:v>17989.71808000001</c:v>
                </c:pt>
                <c:pt idx="12">
                  <c:v>31277.434720000016</c:v>
                </c:pt>
              </c:numCache>
            </c:numRef>
          </c:xVal>
          <c:yVal>
            <c:numRef>
              <c:f>Growth_comp!$O$8:$O$20</c:f>
              <c:numCache>
                <c:formatCode>General</c:formatCode>
                <c:ptCount val="13"/>
                <c:pt idx="0">
                  <c:v>39.382602757945023</c:v>
                </c:pt>
                <c:pt idx="1">
                  <c:v>44.288392518730099</c:v>
                </c:pt>
                <c:pt idx="2">
                  <c:v>57.87803172814845</c:v>
                </c:pt>
                <c:pt idx="3">
                  <c:v>60.005802981477885</c:v>
                </c:pt>
                <c:pt idx="4">
                  <c:v>68.003193238624419</c:v>
                </c:pt>
                <c:pt idx="5">
                  <c:v>0</c:v>
                </c:pt>
                <c:pt idx="6">
                  <c:v>0</c:v>
                </c:pt>
                <c:pt idx="7">
                  <c:v>0</c:v>
                </c:pt>
                <c:pt idx="8">
                  <c:v>31.433497578037237</c:v>
                </c:pt>
                <c:pt idx="9">
                  <c:v>33.127085938509559</c:v>
                </c:pt>
                <c:pt idx="10">
                  <c:v>38.49693488081536</c:v>
                </c:pt>
                <c:pt idx="11">
                  <c:v>37.716547839947637</c:v>
                </c:pt>
                <c:pt idx="12">
                  <c:v>45.58550542120885</c:v>
                </c:pt>
              </c:numCache>
            </c:numRef>
          </c:yVal>
          <c:smooth val="0"/>
        </c:ser>
        <c:ser>
          <c:idx val="2"/>
          <c:order val="2"/>
          <c:tx>
            <c:v>fneu</c:v>
          </c:tx>
          <c:spPr>
            <a:ln w="3175">
              <a:solidFill>
                <a:srgbClr val="008000"/>
              </a:solidFill>
              <a:prstDash val="solid"/>
            </a:ln>
          </c:spPr>
          <c:marker>
            <c:symbol val="triangle"/>
            <c:size val="5"/>
            <c:spPr>
              <a:solidFill>
                <a:srgbClr val="008000"/>
              </a:solidFill>
              <a:ln>
                <a:solidFill>
                  <a:srgbClr val="008000"/>
                </a:solidFill>
                <a:prstDash val="solid"/>
              </a:ln>
            </c:spPr>
          </c:marker>
          <c:xVal>
            <c:numRef>
              <c:f>Growth_comp!$J$8:$J$20</c:f>
              <c:numCache>
                <c:formatCode>General</c:formatCode>
                <c:ptCount val="13"/>
                <c:pt idx="0">
                  <c:v>20408.84928000002</c:v>
                </c:pt>
                <c:pt idx="1">
                  <c:v>28750</c:v>
                </c:pt>
                <c:pt idx="2">
                  <c:v>62788.262879999987</c:v>
                </c:pt>
                <c:pt idx="3">
                  <c:v>69766.134720000002</c:v>
                </c:pt>
                <c:pt idx="4">
                  <c:v>100517.98431999999</c:v>
                </c:pt>
                <c:pt idx="8">
                  <c:v>10568.865279999996</c:v>
                </c:pt>
                <c:pt idx="9">
                  <c:v>12318.295680000007</c:v>
                </c:pt>
                <c:pt idx="10">
                  <c:v>19097.885920000004</c:v>
                </c:pt>
                <c:pt idx="11">
                  <c:v>17989.71808000001</c:v>
                </c:pt>
                <c:pt idx="12">
                  <c:v>31277.434720000016</c:v>
                </c:pt>
              </c:numCache>
            </c:numRef>
          </c:xVal>
          <c:yVal>
            <c:numRef>
              <c:f>Growth_comp!$P$8:$P$20</c:f>
              <c:numCache>
                <c:formatCode>General</c:formatCode>
                <c:ptCount val="13"/>
                <c:pt idx="0">
                  <c:v>63.577335959246881</c:v>
                </c:pt>
                <c:pt idx="1">
                  <c:v>71.215808047698303</c:v>
                </c:pt>
                <c:pt idx="2">
                  <c:v>92.235684535361088</c:v>
                </c:pt>
                <c:pt idx="3">
                  <c:v>95.510729511646858</c:v>
                </c:pt>
                <c:pt idx="4">
                  <c:v>107.78648939044844</c:v>
                </c:pt>
                <c:pt idx="5">
                  <c:v>0</c:v>
                </c:pt>
                <c:pt idx="6">
                  <c:v>0</c:v>
                </c:pt>
                <c:pt idx="7">
                  <c:v>0</c:v>
                </c:pt>
                <c:pt idx="8">
                  <c:v>51.130166294594076</c:v>
                </c:pt>
                <c:pt idx="9">
                  <c:v>53.790146398132379</c:v>
                </c:pt>
                <c:pt idx="10">
                  <c:v>62.195024845963665</c:v>
                </c:pt>
                <c:pt idx="11">
                  <c:v>60.976147125865431</c:v>
                </c:pt>
                <c:pt idx="12">
                  <c:v>73.230574373628784</c:v>
                </c:pt>
              </c:numCache>
            </c:numRef>
          </c:yVal>
          <c:smooth val="0"/>
        </c:ser>
        <c:dLbls>
          <c:showLegendKey val="0"/>
          <c:showVal val="0"/>
          <c:showCatName val="0"/>
          <c:showSerName val="0"/>
          <c:showPercent val="0"/>
          <c:showBubbleSize val="0"/>
        </c:dLbls>
        <c:axId val="254523584"/>
        <c:axId val="254524160"/>
      </c:scatterChart>
      <c:valAx>
        <c:axId val="254523584"/>
        <c:scaling>
          <c:orientation val="minMax"/>
        </c:scaling>
        <c:delete val="0"/>
        <c:axPos val="b"/>
        <c:title>
          <c:tx>
            <c:rich>
              <a:bodyPr/>
              <a:lstStyle/>
              <a:p>
                <a:pPr>
                  <a:defRPr sz="1000" b="1" i="0" u="none" strike="noStrike" baseline="0">
                    <a:solidFill>
                      <a:srgbClr val="000000"/>
                    </a:solidFill>
                    <a:latin typeface="Arial"/>
                    <a:ea typeface="Arial"/>
                    <a:cs typeface="Arial"/>
                  </a:defRPr>
                </a:pPr>
                <a:r>
                  <a:t>stem [mg]</a:t>
                </a:r>
              </a:p>
            </c:rich>
          </c:tx>
          <c:layout>
            <c:manualLayout>
              <c:xMode val="edge"/>
              <c:yMode val="edge"/>
              <c:x val="0.45941355551994872"/>
              <c:y val="0.9035544192606124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24160"/>
        <c:crosses val="autoZero"/>
        <c:crossBetween val="midCat"/>
      </c:valAx>
      <c:valAx>
        <c:axId val="254524160"/>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height [cm]</a:t>
                </a:r>
              </a:p>
            </c:rich>
          </c:tx>
          <c:layout>
            <c:manualLayout>
              <c:xMode val="edge"/>
              <c:yMode val="edge"/>
              <c:x val="2.590677944661365E-2"/>
              <c:y val="0.3502542411740576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23584"/>
        <c:crosses val="autoZero"/>
        <c:crossBetween val="midCat"/>
      </c:valAx>
      <c:spPr>
        <a:noFill/>
        <a:ln w="12700">
          <a:solidFill>
            <a:srgbClr val="808080"/>
          </a:solidFill>
          <a:prstDash val="solid"/>
        </a:ln>
      </c:spPr>
    </c:plotArea>
    <c:legend>
      <c:legendPos val="r"/>
      <c:layout>
        <c:manualLayout>
          <c:xMode val="edge"/>
          <c:yMode val="edge"/>
          <c:x val="0.7374796549136019"/>
          <c:y val="0.59898551389186661"/>
          <c:w val="0.25561355720658802"/>
          <c:h val="0.2157363079695282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31045368943098"/>
          <c:y val="6.5822784810126586E-2"/>
          <c:w val="0.70172472868797875"/>
          <c:h val="0.759493670886076"/>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intercept val="0"/>
            <c:dispRSqr val="1"/>
            <c:dispEq val="1"/>
            <c:trendlineLbl>
              <c:layout>
                <c:manualLayout>
                  <c:xMode val="edge"/>
                  <c:yMode val="edge"/>
                  <c:x val="0.44482796069164254"/>
                  <c:y val="9.1139240506329114E-2"/>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Growth_comp!$I$5:$I$20</c:f>
              <c:numCache>
                <c:formatCode>General</c:formatCode>
                <c:ptCount val="16"/>
                <c:pt idx="3">
                  <c:v>2.0408849280000019E-2</c:v>
                </c:pt>
                <c:pt idx="4">
                  <c:v>2.8750000000000001E-2</c:v>
                </c:pt>
                <c:pt idx="5">
                  <c:v>6.2788262879999987E-2</c:v>
                </c:pt>
                <c:pt idx="6">
                  <c:v>6.9766134719999998E-2</c:v>
                </c:pt>
                <c:pt idx="7">
                  <c:v>0.10051798431999998</c:v>
                </c:pt>
                <c:pt idx="11">
                  <c:v>1.0568865279999997E-2</c:v>
                </c:pt>
                <c:pt idx="12">
                  <c:v>1.2318295680000006E-2</c:v>
                </c:pt>
                <c:pt idx="13">
                  <c:v>1.9097885920000002E-2</c:v>
                </c:pt>
                <c:pt idx="14">
                  <c:v>1.7989718080000008E-2</c:v>
                </c:pt>
                <c:pt idx="15">
                  <c:v>3.1277434720000018E-2</c:v>
                </c:pt>
              </c:numCache>
            </c:numRef>
          </c:xVal>
          <c:yVal>
            <c:numRef>
              <c:f>Growth_comp!$M$5:$M$20</c:f>
              <c:numCache>
                <c:formatCode>General</c:formatCode>
                <c:ptCount val="16"/>
                <c:pt idx="3">
                  <c:v>7.5319898880000014E-2</c:v>
                </c:pt>
                <c:pt idx="4">
                  <c:v>9.3060000000000004E-2</c:v>
                </c:pt>
                <c:pt idx="5">
                  <c:v>0.15042378197999998</c:v>
                </c:pt>
                <c:pt idx="6">
                  <c:v>0.16090069511999999</c:v>
                </c:pt>
                <c:pt idx="7">
                  <c:v>0.20458317671999998</c:v>
                </c:pt>
                <c:pt idx="11">
                  <c:v>3.6465914879999999E-2</c:v>
                </c:pt>
                <c:pt idx="12">
                  <c:v>5.1514193279999995E-2</c:v>
                </c:pt>
                <c:pt idx="13">
                  <c:v>7.2171377819999993E-2</c:v>
                </c:pt>
                <c:pt idx="14">
                  <c:v>6.9387313680000021E-2</c:v>
                </c:pt>
                <c:pt idx="15">
                  <c:v>9.7932682619999989E-2</c:v>
                </c:pt>
              </c:numCache>
            </c:numRef>
          </c:yVal>
          <c:smooth val="0"/>
        </c:ser>
        <c:ser>
          <c:idx val="1"/>
          <c:order val="1"/>
          <c:tx>
            <c:v>BM_needle_alt</c:v>
          </c:tx>
          <c:spPr>
            <a:ln w="28575">
              <a:noFill/>
            </a:ln>
          </c:spPr>
          <c:marker>
            <c:symbol val="square"/>
            <c:size val="5"/>
            <c:spPr>
              <a:solidFill>
                <a:srgbClr val="FF00FF"/>
              </a:solidFill>
              <a:ln>
                <a:solidFill>
                  <a:srgbClr val="FF00FF"/>
                </a:solidFill>
                <a:prstDash val="solid"/>
              </a:ln>
            </c:spPr>
          </c:marker>
          <c:xVal>
            <c:numRef>
              <c:f>Growth_comp!$I$5:$I$20</c:f>
              <c:numCache>
                <c:formatCode>General</c:formatCode>
                <c:ptCount val="16"/>
                <c:pt idx="3">
                  <c:v>2.0408849280000019E-2</c:v>
                </c:pt>
                <c:pt idx="4">
                  <c:v>2.8750000000000001E-2</c:v>
                </c:pt>
                <c:pt idx="5">
                  <c:v>6.2788262879999987E-2</c:v>
                </c:pt>
                <c:pt idx="6">
                  <c:v>6.9766134719999998E-2</c:v>
                </c:pt>
                <c:pt idx="7">
                  <c:v>0.10051798431999998</c:v>
                </c:pt>
                <c:pt idx="11">
                  <c:v>1.0568865279999997E-2</c:v>
                </c:pt>
                <c:pt idx="12">
                  <c:v>1.2318295680000006E-2</c:v>
                </c:pt>
                <c:pt idx="13">
                  <c:v>1.9097885920000002E-2</c:v>
                </c:pt>
                <c:pt idx="14">
                  <c:v>1.7989718080000008E-2</c:v>
                </c:pt>
                <c:pt idx="15">
                  <c:v>3.1277434720000018E-2</c:v>
                </c:pt>
              </c:numCache>
            </c:numRef>
          </c:xVal>
          <c:yVal>
            <c:numRef>
              <c:f>Growth_comp!$Q$5:$Q$20</c:f>
              <c:numCache>
                <c:formatCode>General</c:formatCode>
                <c:ptCount val="16"/>
                <c:pt idx="0">
                  <c:v>0</c:v>
                </c:pt>
                <c:pt idx="1">
                  <c:v>0</c:v>
                </c:pt>
                <c:pt idx="2">
                  <c:v>0</c:v>
                </c:pt>
                <c:pt idx="3">
                  <c:v>4.0413211986649641E-2</c:v>
                </c:pt>
                <c:pt idx="4">
                  <c:v>5.0471659764775835E-2</c:v>
                </c:pt>
                <c:pt idx="5">
                  <c:v>8.3768174674001744E-2</c:v>
                </c:pt>
                <c:pt idx="6">
                  <c:v>8.9693920191277324E-2</c:v>
                </c:pt>
                <c:pt idx="7">
                  <c:v>0.11366595047452013</c:v>
                </c:pt>
                <c:pt idx="8">
                  <c:v>0</c:v>
                </c:pt>
                <c:pt idx="9">
                  <c:v>0</c:v>
                </c:pt>
                <c:pt idx="10">
                  <c:v>0</c:v>
                </c:pt>
                <c:pt idx="11">
                  <c:v>2.6373020570686894E-2</c:v>
                </c:pt>
                <c:pt idx="12">
                  <c:v>2.9127701337069638E-2</c:v>
                </c:pt>
                <c:pt idx="13">
                  <c:v>3.8709908084105196E-2</c:v>
                </c:pt>
                <c:pt idx="14">
                  <c:v>3.723778809157488E-2</c:v>
                </c:pt>
                <c:pt idx="15">
                  <c:v>5.3306723135010364E-2</c:v>
                </c:pt>
              </c:numCache>
            </c:numRef>
          </c:yVal>
          <c:smooth val="0"/>
        </c:ser>
        <c:dLbls>
          <c:showLegendKey val="0"/>
          <c:showVal val="0"/>
          <c:showCatName val="0"/>
          <c:showSerName val="0"/>
          <c:showPercent val="0"/>
          <c:showBubbleSize val="0"/>
        </c:dLbls>
        <c:axId val="255001152"/>
        <c:axId val="255001728"/>
      </c:scatterChart>
      <c:valAx>
        <c:axId val="255001152"/>
        <c:scaling>
          <c:orientation val="minMax"/>
        </c:scaling>
        <c:delete val="0"/>
        <c:axPos val="b"/>
        <c:title>
          <c:tx>
            <c:rich>
              <a:bodyPr/>
              <a:lstStyle/>
              <a:p>
                <a:pPr>
                  <a:defRPr sz="1000" b="1" i="0" u="none" strike="noStrike" baseline="0">
                    <a:solidFill>
                      <a:srgbClr val="000000"/>
                    </a:solidFill>
                    <a:latin typeface="Arial"/>
                    <a:ea typeface="Arial"/>
                    <a:cs typeface="Arial"/>
                  </a:defRPr>
                </a:pPr>
                <a:r>
                  <a:t>BM-stem</a:t>
                </a:r>
              </a:p>
            </c:rich>
          </c:tx>
          <c:layout>
            <c:manualLayout>
              <c:xMode val="edge"/>
              <c:yMode val="edge"/>
              <c:x val="0.42931070624891082"/>
              <c:y val="0.9037974683544304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01728"/>
        <c:crosses val="autoZero"/>
        <c:crossBetween val="midCat"/>
      </c:valAx>
      <c:valAx>
        <c:axId val="255001728"/>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BM needle</a:t>
                </a:r>
              </a:p>
            </c:rich>
          </c:tx>
          <c:layout>
            <c:manualLayout>
              <c:xMode val="edge"/>
              <c:yMode val="edge"/>
              <c:x val="2.5862090737886194E-2"/>
              <c:y val="0.3544303797468354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01152"/>
        <c:crosses val="autoZero"/>
        <c:crossBetween val="midCat"/>
      </c:valAx>
      <c:spPr>
        <a:noFill/>
        <a:ln w="12700">
          <a:solidFill>
            <a:srgbClr val="808080"/>
          </a:solidFill>
          <a:prstDash val="solid"/>
        </a:ln>
      </c:spPr>
    </c:plotArea>
    <c:legend>
      <c:legendPos val="r"/>
      <c:layout>
        <c:manualLayout>
          <c:xMode val="edge"/>
          <c:yMode val="edge"/>
          <c:x val="0.76034546769385414"/>
          <c:y val="0.83037974683544302"/>
          <c:w val="0.21206914405066679"/>
          <c:h val="0.16202531645569621"/>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biomass-height-relation</a:t>
            </a:r>
          </a:p>
        </c:rich>
      </c:tx>
      <c:layout>
        <c:manualLayout>
          <c:xMode val="edge"/>
          <c:yMode val="edge"/>
          <c:x val="0.32710310227721806"/>
          <c:y val="3.8461604126154333E-2"/>
        </c:manualLayout>
      </c:layout>
      <c:overlay val="0"/>
      <c:spPr>
        <a:noFill/>
        <a:ln w="25400">
          <a:noFill/>
        </a:ln>
      </c:spPr>
    </c:title>
    <c:autoTitleDeleted val="0"/>
    <c:plotArea>
      <c:layout>
        <c:manualLayout>
          <c:layoutTarget val="inner"/>
          <c:xMode val="edge"/>
          <c:yMode val="edge"/>
          <c:x val="0.121495437988681"/>
          <c:y val="0.230769624756926"/>
          <c:w val="0.56074817533237375"/>
          <c:h val="0.52797292936811857"/>
        </c:manualLayout>
      </c:layout>
      <c:scatterChart>
        <c:scatterStyle val="lineMarker"/>
        <c:varyColors val="0"/>
        <c:ser>
          <c:idx val="0"/>
          <c:order val="0"/>
          <c:tx>
            <c:strRef>
              <c:f>'fue-01'!$F$10</c:f>
              <c:strCache>
                <c:ptCount val="1"/>
                <c:pt idx="0">
                  <c:v>shoot</c:v>
                </c:pt>
              </c:strCache>
            </c:strRef>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power"/>
            <c:dispRSqr val="1"/>
            <c:dispEq val="1"/>
            <c:trendlineLbl>
              <c:layout>
                <c:manualLayout>
                  <c:xMode val="edge"/>
                  <c:yMode val="edge"/>
                  <c:x val="0.77383248195867582"/>
                  <c:y val="0.40209858859161351"/>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'fue-01'!$B$11:$B$13</c:f>
              <c:numCache>
                <c:formatCode>General</c:formatCode>
                <c:ptCount val="3"/>
                <c:pt idx="0">
                  <c:v>17.5</c:v>
                </c:pt>
                <c:pt idx="1">
                  <c:v>16.8</c:v>
                </c:pt>
                <c:pt idx="2">
                  <c:v>16.100000000000001</c:v>
                </c:pt>
              </c:numCache>
            </c:numRef>
          </c:xVal>
          <c:yVal>
            <c:numRef>
              <c:f>'fue-01'!$F$11:$F$13</c:f>
              <c:numCache>
                <c:formatCode>General</c:formatCode>
                <c:ptCount val="3"/>
                <c:pt idx="0">
                  <c:v>9.5</c:v>
                </c:pt>
                <c:pt idx="1">
                  <c:v>7.1</c:v>
                </c:pt>
                <c:pt idx="2">
                  <c:v>6.8</c:v>
                </c:pt>
              </c:numCache>
            </c:numRef>
          </c:yVal>
          <c:smooth val="0"/>
        </c:ser>
        <c:dLbls>
          <c:showLegendKey val="0"/>
          <c:showVal val="0"/>
          <c:showCatName val="0"/>
          <c:showSerName val="0"/>
          <c:showPercent val="0"/>
          <c:showBubbleSize val="0"/>
        </c:dLbls>
        <c:axId val="253555200"/>
        <c:axId val="253555776"/>
      </c:scatterChart>
      <c:valAx>
        <c:axId val="253555200"/>
        <c:scaling>
          <c:orientation val="minMax"/>
        </c:scaling>
        <c:delete val="0"/>
        <c:axPos val="b"/>
        <c:title>
          <c:tx>
            <c:rich>
              <a:bodyPr/>
              <a:lstStyle/>
              <a:p>
                <a:pPr>
                  <a:defRPr sz="1000" b="1" i="0" u="none" strike="noStrike" baseline="0">
                    <a:solidFill>
                      <a:srgbClr val="000000"/>
                    </a:solidFill>
                    <a:latin typeface="Arial"/>
                    <a:ea typeface="Arial"/>
                    <a:cs typeface="Arial"/>
                  </a:defRPr>
                </a:pPr>
                <a:r>
                  <a:t>height of seedling (cm)</a:t>
                </a:r>
              </a:p>
            </c:rich>
          </c:tx>
          <c:layout>
            <c:manualLayout>
              <c:xMode val="edge"/>
              <c:yMode val="edge"/>
              <c:x val="0.2635516424062157"/>
              <c:y val="0.867134347571479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3555776"/>
        <c:crosses val="autoZero"/>
        <c:crossBetween val="midCat"/>
      </c:valAx>
      <c:valAx>
        <c:axId val="25355577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shoot biomass (g d.w.)</a:t>
                </a:r>
              </a:p>
            </c:rich>
          </c:tx>
          <c:layout>
            <c:manualLayout>
              <c:xMode val="edge"/>
              <c:yMode val="edge"/>
              <c:x val="2.9906569351059935E-2"/>
              <c:y val="0.241259153154968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3555200"/>
        <c:crosses val="autoZero"/>
        <c:crossBetween val="midCat"/>
      </c:valAx>
      <c:spPr>
        <a:solidFill>
          <a:srgbClr val="C0C0C0"/>
        </a:solidFill>
        <a:ln w="12700">
          <a:solidFill>
            <a:srgbClr val="808080"/>
          </a:solidFill>
          <a:prstDash val="solid"/>
        </a:ln>
      </c:spPr>
    </c:plotArea>
    <c:legend>
      <c:legendPos val="r"/>
      <c:layout>
        <c:manualLayout>
          <c:xMode val="edge"/>
          <c:yMode val="edge"/>
          <c:x val="0.72336514617876224"/>
          <c:y val="0.12937085024251913"/>
          <c:w val="0.25607500006845069"/>
          <c:h val="0.1503499070386033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H-DBH-Relation</a:t>
            </a:r>
          </a:p>
        </c:rich>
      </c:tx>
      <c:layout>
        <c:manualLayout>
          <c:xMode val="edge"/>
          <c:yMode val="edge"/>
          <c:x val="0.37270875763747452"/>
          <c:y val="3.8461604126154333E-2"/>
        </c:manualLayout>
      </c:layout>
      <c:overlay val="0"/>
      <c:spPr>
        <a:noFill/>
        <a:ln w="25400">
          <a:noFill/>
        </a:ln>
      </c:spPr>
    </c:title>
    <c:autoTitleDeleted val="0"/>
    <c:plotArea>
      <c:layout>
        <c:manualLayout>
          <c:layoutTarget val="inner"/>
          <c:xMode val="edge"/>
          <c:yMode val="edge"/>
          <c:x val="0.13238289205702647"/>
          <c:y val="0.230769624756926"/>
          <c:w val="0.70468431771894091"/>
          <c:h val="0.52797292936811857"/>
        </c:manualLayout>
      </c:layout>
      <c:scatterChart>
        <c:scatterStyle val="lineMarker"/>
        <c:varyColors val="0"/>
        <c:ser>
          <c:idx val="0"/>
          <c:order val="0"/>
          <c:tx>
            <c:strRef>
              <c:f>'lop-04'!$F$8</c:f>
              <c:strCache>
                <c:ptCount val="1"/>
                <c:pt idx="0">
                  <c:v>H (m)</c:v>
                </c:pt>
              </c:strCache>
            </c:strRef>
          </c:tx>
          <c:spPr>
            <a:ln w="28575">
              <a:noFill/>
            </a:ln>
          </c:spPr>
          <c:marker>
            <c:symbol val="diamond"/>
            <c:size val="5"/>
            <c:spPr>
              <a:solidFill>
                <a:srgbClr val="000080"/>
              </a:solidFill>
              <a:ln>
                <a:solidFill>
                  <a:srgbClr val="000080"/>
                </a:solidFill>
                <a:prstDash val="solid"/>
              </a:ln>
            </c:spPr>
          </c:marker>
          <c:xVal>
            <c:numRef>
              <c:f>'lop-04'!$D$9:$D$15</c:f>
              <c:numCache>
                <c:formatCode>General</c:formatCode>
                <c:ptCount val="7"/>
                <c:pt idx="0">
                  <c:v>22.3</c:v>
                </c:pt>
                <c:pt idx="1">
                  <c:v>21.1</c:v>
                </c:pt>
                <c:pt idx="2">
                  <c:v>19.600000000000001</c:v>
                </c:pt>
                <c:pt idx="3">
                  <c:v>18.8</c:v>
                </c:pt>
                <c:pt idx="4">
                  <c:v>16.100000000000001</c:v>
                </c:pt>
                <c:pt idx="5">
                  <c:v>19.600000000000001</c:v>
                </c:pt>
                <c:pt idx="6">
                  <c:v>16.2</c:v>
                </c:pt>
              </c:numCache>
            </c:numRef>
          </c:xVal>
          <c:yVal>
            <c:numRef>
              <c:f>'lop-04'!$F$9:$F$15</c:f>
              <c:numCache>
                <c:formatCode>General</c:formatCode>
                <c:ptCount val="7"/>
                <c:pt idx="0">
                  <c:v>10.199999999999999</c:v>
                </c:pt>
                <c:pt idx="1">
                  <c:v>11.3</c:v>
                </c:pt>
                <c:pt idx="2">
                  <c:v>10.9</c:v>
                </c:pt>
                <c:pt idx="3">
                  <c:v>10.5</c:v>
                </c:pt>
                <c:pt idx="4">
                  <c:v>9.5</c:v>
                </c:pt>
                <c:pt idx="5">
                  <c:v>9</c:v>
                </c:pt>
                <c:pt idx="6">
                  <c:v>6.9</c:v>
                </c:pt>
              </c:numCache>
            </c:numRef>
          </c:yVal>
          <c:smooth val="0"/>
        </c:ser>
        <c:dLbls>
          <c:showLegendKey val="0"/>
          <c:showVal val="0"/>
          <c:showCatName val="0"/>
          <c:showSerName val="0"/>
          <c:showPercent val="0"/>
          <c:showBubbleSize val="0"/>
        </c:dLbls>
        <c:axId val="255248640"/>
        <c:axId val="255249216"/>
      </c:scatterChart>
      <c:valAx>
        <c:axId val="255248640"/>
        <c:scaling>
          <c:orientation val="minMax"/>
        </c:scaling>
        <c:delete val="0"/>
        <c:axPos val="b"/>
        <c:title>
          <c:tx>
            <c:rich>
              <a:bodyPr/>
              <a:lstStyle/>
              <a:p>
                <a:pPr>
                  <a:defRPr sz="1000" b="1" i="0" u="none" strike="noStrike" baseline="0">
                    <a:solidFill>
                      <a:srgbClr val="000000"/>
                    </a:solidFill>
                    <a:latin typeface="Arial"/>
                    <a:ea typeface="Arial"/>
                    <a:cs typeface="Arial"/>
                  </a:defRPr>
                </a:pPr>
                <a:r>
                  <a:t>dbh (cm)</a:t>
                </a:r>
              </a:p>
            </c:rich>
          </c:tx>
          <c:layout>
            <c:manualLayout>
              <c:xMode val="edge"/>
              <c:yMode val="edge"/>
              <c:x val="0.42566191446028512"/>
              <c:y val="0.867134347571479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249216"/>
        <c:crosses val="autoZero"/>
        <c:crossBetween val="midCat"/>
      </c:valAx>
      <c:valAx>
        <c:axId val="25524921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h (m)</a:t>
                </a:r>
              </a:p>
            </c:rich>
          </c:tx>
          <c:layout>
            <c:manualLayout>
              <c:xMode val="edge"/>
              <c:yMode val="edge"/>
              <c:x val="3.2586558044806514E-2"/>
              <c:y val="0.4300706643197257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248640"/>
        <c:crosses val="autoZero"/>
        <c:crossBetween val="midCat"/>
      </c:valAx>
      <c:spPr>
        <a:solidFill>
          <a:srgbClr val="C0C0C0"/>
        </a:solidFill>
        <a:ln w="12700">
          <a:solidFill>
            <a:srgbClr val="808080"/>
          </a:solidFill>
          <a:prstDash val="solid"/>
        </a:ln>
      </c:spPr>
    </c:plotArea>
    <c:legend>
      <c:legendPos val="r"/>
      <c:layout>
        <c:manualLayout>
          <c:xMode val="edge"/>
          <c:yMode val="edge"/>
          <c:x val="0.87780040733197551"/>
          <c:y val="0.45804274004783796"/>
          <c:w val="0.10590631364562118"/>
          <c:h val="7.692320825230866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foliage - height growth</a:t>
            </a:r>
          </a:p>
        </c:rich>
      </c:tx>
      <c:layout>
        <c:manualLayout>
          <c:xMode val="edge"/>
          <c:yMode val="edge"/>
          <c:x val="0.34669019038731624"/>
          <c:y val="3.8461604126154333E-2"/>
        </c:manualLayout>
      </c:layout>
      <c:overlay val="0"/>
      <c:spPr>
        <a:noFill/>
        <a:ln w="25400">
          <a:noFill/>
        </a:ln>
      </c:spPr>
    </c:title>
    <c:autoTitleDeleted val="0"/>
    <c:plotArea>
      <c:layout>
        <c:manualLayout>
          <c:layoutTarget val="inner"/>
          <c:xMode val="edge"/>
          <c:yMode val="edge"/>
          <c:x val="0.11324051444811838"/>
          <c:y val="0.230769624756926"/>
          <c:w val="0.64459985147390453"/>
          <c:h val="0.52797292936811857"/>
        </c:manualLayout>
      </c:layout>
      <c:scatterChart>
        <c:scatterStyle val="lineMarker"/>
        <c:varyColors val="0"/>
        <c:ser>
          <c:idx val="0"/>
          <c:order val="0"/>
          <c:tx>
            <c:strRef>
              <c:f>'lop-04'!$N$8</c:f>
              <c:strCache>
                <c:ptCount val="1"/>
                <c:pt idx="0">
                  <c:v>Leaf_bm (kg)</c:v>
                </c:pt>
              </c:strCache>
            </c:strRef>
          </c:tx>
          <c:spPr>
            <a:ln w="28575">
              <a:noFill/>
            </a:ln>
          </c:spPr>
          <c:marker>
            <c:symbol val="diamond"/>
            <c:size val="5"/>
            <c:spPr>
              <a:solidFill>
                <a:srgbClr val="000080"/>
              </a:solidFill>
              <a:ln>
                <a:solidFill>
                  <a:srgbClr val="000080"/>
                </a:solidFill>
                <a:prstDash val="solid"/>
              </a:ln>
            </c:spPr>
          </c:marker>
          <c:xVal>
            <c:numRef>
              <c:f>'lop-04'!$N$9:$N$15</c:f>
              <c:numCache>
                <c:formatCode>General</c:formatCode>
                <c:ptCount val="7"/>
                <c:pt idx="0">
                  <c:v>11.9</c:v>
                </c:pt>
                <c:pt idx="1">
                  <c:v>11.7</c:v>
                </c:pt>
                <c:pt idx="2">
                  <c:v>8.9</c:v>
                </c:pt>
                <c:pt idx="3">
                  <c:v>9.5</c:v>
                </c:pt>
                <c:pt idx="4">
                  <c:v>6.3</c:v>
                </c:pt>
                <c:pt idx="5">
                  <c:v>8.4</c:v>
                </c:pt>
                <c:pt idx="6">
                  <c:v>10.4</c:v>
                </c:pt>
              </c:numCache>
            </c:numRef>
          </c:xVal>
          <c:yVal>
            <c:numRef>
              <c:f>'lop-04'!$F$9:$F$15</c:f>
              <c:numCache>
                <c:formatCode>General</c:formatCode>
                <c:ptCount val="7"/>
                <c:pt idx="0">
                  <c:v>10.199999999999999</c:v>
                </c:pt>
                <c:pt idx="1">
                  <c:v>11.3</c:v>
                </c:pt>
                <c:pt idx="2">
                  <c:v>10.9</c:v>
                </c:pt>
                <c:pt idx="3">
                  <c:v>10.5</c:v>
                </c:pt>
                <c:pt idx="4">
                  <c:v>9.5</c:v>
                </c:pt>
                <c:pt idx="5">
                  <c:v>9</c:v>
                </c:pt>
                <c:pt idx="6">
                  <c:v>6.9</c:v>
                </c:pt>
              </c:numCache>
            </c:numRef>
          </c:yVal>
          <c:smooth val="0"/>
        </c:ser>
        <c:ser>
          <c:idx val="1"/>
          <c:order val="1"/>
          <c:spPr>
            <a:ln w="12700">
              <a:solidFill>
                <a:srgbClr val="FF00FF"/>
              </a:solidFill>
              <a:prstDash val="solid"/>
            </a:ln>
          </c:spPr>
          <c:marker>
            <c:symbol val="square"/>
            <c:size val="3"/>
            <c:spPr>
              <a:solidFill>
                <a:srgbClr val="FF00FF"/>
              </a:solidFill>
              <a:ln>
                <a:solidFill>
                  <a:srgbClr val="FF00FF"/>
                </a:solidFill>
                <a:prstDash val="solid"/>
              </a:ln>
            </c:spPr>
          </c:marker>
          <c:xVal>
            <c:numRef>
              <c:f>'lop-04'!$U$9:$U$38</c:f>
              <c:numCache>
                <c:formatCode>0.0</c:formatCode>
                <c:ptCount val="30"/>
                <c:pt idx="0">
                  <c:v>0.5</c:v>
                </c:pt>
                <c:pt idx="1">
                  <c:v>1</c:v>
                </c:pt>
                <c:pt idx="2">
                  <c:v>1.5</c:v>
                </c:pt>
                <c:pt idx="3">
                  <c:v>2</c:v>
                </c:pt>
                <c:pt idx="4">
                  <c:v>2.5</c:v>
                </c:pt>
                <c:pt idx="5">
                  <c:v>3</c:v>
                </c:pt>
                <c:pt idx="6">
                  <c:v>3.5</c:v>
                </c:pt>
                <c:pt idx="7">
                  <c:v>4</c:v>
                </c:pt>
                <c:pt idx="8">
                  <c:v>4.5</c:v>
                </c:pt>
                <c:pt idx="9">
                  <c:v>5</c:v>
                </c:pt>
                <c:pt idx="10">
                  <c:v>5.5</c:v>
                </c:pt>
                <c:pt idx="11">
                  <c:v>6</c:v>
                </c:pt>
                <c:pt idx="12">
                  <c:v>6.5</c:v>
                </c:pt>
                <c:pt idx="13">
                  <c:v>7</c:v>
                </c:pt>
                <c:pt idx="14">
                  <c:v>7.5</c:v>
                </c:pt>
                <c:pt idx="15">
                  <c:v>8</c:v>
                </c:pt>
                <c:pt idx="16">
                  <c:v>8.5</c:v>
                </c:pt>
                <c:pt idx="17">
                  <c:v>9</c:v>
                </c:pt>
                <c:pt idx="18">
                  <c:v>9.5</c:v>
                </c:pt>
                <c:pt idx="19">
                  <c:v>10</c:v>
                </c:pt>
                <c:pt idx="20">
                  <c:v>10.5</c:v>
                </c:pt>
                <c:pt idx="21">
                  <c:v>11</c:v>
                </c:pt>
                <c:pt idx="22">
                  <c:v>11.5</c:v>
                </c:pt>
                <c:pt idx="23">
                  <c:v>12</c:v>
                </c:pt>
                <c:pt idx="24">
                  <c:v>12.5</c:v>
                </c:pt>
                <c:pt idx="25">
                  <c:v>13</c:v>
                </c:pt>
                <c:pt idx="26">
                  <c:v>13.5</c:v>
                </c:pt>
                <c:pt idx="27">
                  <c:v>14</c:v>
                </c:pt>
                <c:pt idx="28">
                  <c:v>14.5</c:v>
                </c:pt>
                <c:pt idx="29">
                  <c:v>15</c:v>
                </c:pt>
              </c:numCache>
            </c:numRef>
          </c:xVal>
          <c:yVal>
            <c:numRef>
              <c:f>'lop-04'!$V$9:$V$38</c:f>
              <c:numCache>
                <c:formatCode>General</c:formatCode>
                <c:ptCount val="30"/>
                <c:pt idx="0">
                  <c:v>1.3160231861178184</c:v>
                </c:pt>
                <c:pt idx="1">
                  <c:v>1.9444444444444444</c:v>
                </c:pt>
                <c:pt idx="2">
                  <c:v>2.430407363483142</c:v>
                </c:pt>
                <c:pt idx="3">
                  <c:v>2.8387817120936663</c:v>
                </c:pt>
                <c:pt idx="4">
                  <c:v>3.1959580572938453</c:v>
                </c:pt>
                <c:pt idx="5">
                  <c:v>3.5159279860450683</c:v>
                </c:pt>
                <c:pt idx="6">
                  <c:v>3.8072161970587284</c:v>
                </c:pt>
                <c:pt idx="7">
                  <c:v>4.0754914407757683</c:v>
                </c:pt>
                <c:pt idx="8">
                  <c:v>4.3247586665381537</c:v>
                </c:pt>
                <c:pt idx="9">
                  <c:v>4.5579762756610025</c:v>
                </c:pt>
                <c:pt idx="10">
                  <c:v>4.7774056639162739</c:v>
                </c:pt>
                <c:pt idx="11">
                  <c:v>4.9848229724270254</c:v>
                </c:pt>
                <c:pt idx="12">
                  <c:v>5.1816543160968953</c:v>
                </c:pt>
                <c:pt idx="13">
                  <c:v>5.369065892300168</c:v>
                </c:pt>
                <c:pt idx="14">
                  <c:v>5.5480261629651464</c:v>
                </c:pt>
                <c:pt idx="15">
                  <c:v>5.7193500431318709</c:v>
                </c:pt>
                <c:pt idx="16">
                  <c:v>5.8837310969827312</c:v>
                </c:pt>
                <c:pt idx="17">
                  <c:v>6.0417655064646123</c:v>
                </c:pt>
                <c:pt idx="18">
                  <c:v>6.193970252616479</c:v>
                </c:pt>
                <c:pt idx="19">
                  <c:v>6.340797136098673</c:v>
                </c:pt>
                <c:pt idx="20">
                  <c:v>6.4826437481318147</c:v>
                </c:pt>
                <c:pt idx="21">
                  <c:v>6.619862167721954</c:v>
                </c:pt>
                <c:pt idx="22">
                  <c:v>6.7527659375141571</c:v>
                </c:pt>
                <c:pt idx="23">
                  <c:v>6.8816357183746071</c:v>
                </c:pt>
                <c:pt idx="24">
                  <c:v>7.0067239170964335</c:v>
                </c:pt>
                <c:pt idx="25">
                  <c:v>7.1282585069429816</c:v>
                </c:pt>
                <c:pt idx="26">
                  <c:v>7.2464462071387858</c:v>
                </c:pt>
                <c:pt idx="27">
                  <c:v>7.3614751483857468</c:v>
                </c:pt>
                <c:pt idx="28">
                  <c:v>7.4735171226818666</c:v>
                </c:pt>
                <c:pt idx="29">
                  <c:v>7.5827294942103993</c:v>
                </c:pt>
              </c:numCache>
            </c:numRef>
          </c:yVal>
          <c:smooth val="0"/>
        </c:ser>
        <c:dLbls>
          <c:showLegendKey val="0"/>
          <c:showVal val="0"/>
          <c:showCatName val="0"/>
          <c:showSerName val="0"/>
          <c:showPercent val="0"/>
          <c:showBubbleSize val="0"/>
        </c:dLbls>
        <c:axId val="255251520"/>
        <c:axId val="255252096"/>
      </c:scatterChart>
      <c:valAx>
        <c:axId val="255251520"/>
        <c:scaling>
          <c:orientation val="minMax"/>
        </c:scaling>
        <c:delete val="0"/>
        <c:axPos val="b"/>
        <c:title>
          <c:tx>
            <c:rich>
              <a:bodyPr/>
              <a:lstStyle/>
              <a:p>
                <a:pPr>
                  <a:defRPr sz="1000" b="1" i="0" u="none" strike="noStrike" baseline="0">
                    <a:solidFill>
                      <a:srgbClr val="000000"/>
                    </a:solidFill>
                    <a:latin typeface="Arial"/>
                    <a:ea typeface="Arial"/>
                    <a:cs typeface="Arial"/>
                  </a:defRPr>
                </a:pPr>
                <a:r>
                  <a:t>foliage mass (kg d.w.)</a:t>
                </a:r>
              </a:p>
            </c:rich>
          </c:tx>
          <c:layout>
            <c:manualLayout>
              <c:xMode val="edge"/>
              <c:yMode val="edge"/>
              <c:x val="0.3118469551725106"/>
              <c:y val="0.867134347571479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252096"/>
        <c:crosses val="autoZero"/>
        <c:crossBetween val="midCat"/>
      </c:valAx>
      <c:valAx>
        <c:axId val="25525209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tree height (m)</a:t>
                </a:r>
              </a:p>
            </c:rich>
          </c:tx>
          <c:layout>
            <c:manualLayout>
              <c:xMode val="edge"/>
              <c:yMode val="edge"/>
              <c:x val="2.7874588171844523E-2"/>
              <c:y val="0.3251753803393048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251520"/>
        <c:crosses val="autoZero"/>
        <c:crossBetween val="midCat"/>
      </c:valAx>
      <c:spPr>
        <a:solidFill>
          <a:srgbClr val="C0C0C0"/>
        </a:solidFill>
        <a:ln w="12700">
          <a:solidFill>
            <a:srgbClr val="808080"/>
          </a:solidFill>
          <a:prstDash val="solid"/>
        </a:ln>
      </c:spPr>
    </c:plotArea>
    <c:legend>
      <c:legendPos val="r"/>
      <c:layout>
        <c:manualLayout>
          <c:xMode val="edge"/>
          <c:yMode val="edge"/>
          <c:x val="0.79268360113682856"/>
          <c:y val="0.41958113592168367"/>
          <c:w val="0.19337995544217138"/>
          <c:h val="0.1503499070386033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t>crown area</a:t>
            </a:r>
          </a:p>
        </c:rich>
      </c:tx>
      <c:layout>
        <c:manualLayout>
          <c:xMode val="edge"/>
          <c:yMode val="edge"/>
          <c:x val="0.43057722308892354"/>
          <c:y val="3.2258103600563644E-2"/>
        </c:manualLayout>
      </c:layout>
      <c:overlay val="0"/>
      <c:spPr>
        <a:noFill/>
        <a:ln w="25400">
          <a:noFill/>
        </a:ln>
      </c:spPr>
    </c:title>
    <c:autoTitleDeleted val="0"/>
    <c:plotArea>
      <c:layout>
        <c:manualLayout>
          <c:layoutTarget val="inner"/>
          <c:xMode val="edge"/>
          <c:yMode val="edge"/>
          <c:x val="9.9843993759750393E-2"/>
          <c:y val="0.16625330317213571"/>
          <c:w val="0.76287051482059287"/>
          <c:h val="0.65260624976524917"/>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xVal>
            <c:numRef>
              <c:f>crown_area!$B$6:$B$35</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crown_area!$C$6:$C$35</c:f>
              <c:numCache>
                <c:formatCode>General</c:formatCode>
                <c:ptCount val="30"/>
                <c:pt idx="0">
                  <c:v>6.7000000000000004E-2</c:v>
                </c:pt>
                <c:pt idx="1">
                  <c:v>0.21187788324985701</c:v>
                </c:pt>
                <c:pt idx="2">
                  <c:v>0.41550208439139025</c:v>
                </c:pt>
                <c:pt idx="3">
                  <c:v>0.67003339418567209</c:v>
                </c:pt>
                <c:pt idx="4">
                  <c:v>0.97065295250108574</c:v>
                </c:pt>
                <c:pt idx="5">
                  <c:v>1.3139657033843459</c:v>
                </c:pt>
                <c:pt idx="6">
                  <c:v>1.6973939393359359</c:v>
                </c:pt>
                <c:pt idx="7">
                  <c:v>2.1188844368175705</c:v>
                </c:pt>
                <c:pt idx="8">
                  <c:v>2.5767460019938802</c:v>
                </c:pt>
                <c:pt idx="9">
                  <c:v>3.0695506409873756</c:v>
                </c:pt>
                <c:pt idx="10">
                  <c:v>3.5960693024833006</c:v>
                </c:pt>
                <c:pt idx="11">
                  <c:v>4.15522793874604</c:v>
                </c:pt>
                <c:pt idx="12">
                  <c:v>4.7460762457615253</c:v>
                </c:pt>
                <c:pt idx="13">
                  <c:v>5.3677647001139457</c:v>
                </c:pt>
                <c:pt idx="14">
                  <c:v>6.0195272385799736</c:v>
                </c:pt>
                <c:pt idx="15">
                  <c:v>6.7006679003577947</c:v>
                </c:pt>
                <c:pt idx="16">
                  <c:v>7.4105503283694976</c:v>
                </c:pt>
                <c:pt idx="17">
                  <c:v>8.1485893817163362</c:v>
                </c:pt>
                <c:pt idx="18">
                  <c:v>8.9142443385839059</c:v>
                </c:pt>
                <c:pt idx="19">
                  <c:v>9.7070133185171148</c:v>
                </c:pt>
                <c:pt idx="20">
                  <c:v>10.526428654140215</c:v>
                </c:pt>
                <c:pt idx="21">
                  <c:v>11.372053012387338</c:v>
                </c:pt>
                <c:pt idx="22">
                  <c:v>12.243476114739947</c:v>
                </c:pt>
                <c:pt idx="23">
                  <c:v>13.14031194152504</c:v>
                </c:pt>
                <c:pt idx="24">
                  <c:v>14.062196331329478</c:v>
                </c:pt>
                <c:pt idx="25">
                  <c:v>15.008784905886275</c:v>
                </c:pt>
                <c:pt idx="26">
                  <c:v>15.979751265308019</c:v>
                </c:pt>
                <c:pt idx="27">
                  <c:v>16.97478540960368</c:v>
                </c:pt>
                <c:pt idx="28">
                  <c:v>17.993592350933369</c:v>
                </c:pt>
                <c:pt idx="29">
                  <c:v>19.035890887689288</c:v>
                </c:pt>
              </c:numCache>
            </c:numRef>
          </c:yVal>
          <c:smooth val="0"/>
        </c:ser>
        <c:ser>
          <c:idx val="1"/>
          <c:order val="1"/>
          <c:spPr>
            <a:ln w="28575">
              <a:noFill/>
            </a:ln>
          </c:spPr>
          <c:marker>
            <c:symbol val="square"/>
            <c:size val="5"/>
            <c:spPr>
              <a:solidFill>
                <a:srgbClr val="FF00FF"/>
              </a:solidFill>
              <a:ln>
                <a:solidFill>
                  <a:srgbClr val="FF00FF"/>
                </a:solidFill>
                <a:prstDash val="solid"/>
              </a:ln>
            </c:spPr>
          </c:marker>
          <c:xVal>
            <c:numRef>
              <c:f>crown_area!$B$6:$B$35</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crown_area!$D$6:$D$35</c:f>
              <c:numCache>
                <c:formatCode>General</c:formatCode>
                <c:ptCount val="30"/>
                <c:pt idx="0">
                  <c:v>0.3410605193928834</c:v>
                </c:pt>
                <c:pt idx="1">
                  <c:v>0.51209175089893488</c:v>
                </c:pt>
                <c:pt idx="2">
                  <c:v>0.71776115178459932</c:v>
                </c:pt>
                <c:pt idx="3">
                  <c:v>0.95806872204987681</c:v>
                </c:pt>
                <c:pt idx="4">
                  <c:v>1.2330144616947667</c:v>
                </c:pt>
                <c:pt idx="5">
                  <c:v>1.5425983707192696</c:v>
                </c:pt>
                <c:pt idx="6">
                  <c:v>1.886820449123386</c:v>
                </c:pt>
                <c:pt idx="7">
                  <c:v>2.2656806969071148</c:v>
                </c:pt>
                <c:pt idx="8">
                  <c:v>2.6791791140704571</c:v>
                </c:pt>
                <c:pt idx="9">
                  <c:v>3.1273157006134107</c:v>
                </c:pt>
                <c:pt idx="10">
                  <c:v>3.6100904565359784</c:v>
                </c:pt>
                <c:pt idx="11">
                  <c:v>4.1275033818381592</c:v>
                </c:pt>
                <c:pt idx="12">
                  <c:v>4.6795544765199528</c:v>
                </c:pt>
                <c:pt idx="13">
                  <c:v>5.2662437405813574</c:v>
                </c:pt>
                <c:pt idx="14">
                  <c:v>5.8875711740223773</c:v>
                </c:pt>
                <c:pt idx="15">
                  <c:v>6.5435367768430099</c:v>
                </c:pt>
                <c:pt idx="16">
                  <c:v>7.2341405490432553</c:v>
                </c:pt>
                <c:pt idx="17">
                  <c:v>7.9593824906231125</c:v>
                </c:pt>
                <c:pt idx="18">
                  <c:v>8.7192626015825816</c:v>
                </c:pt>
                <c:pt idx="19">
                  <c:v>9.5137808819216669</c:v>
                </c:pt>
                <c:pt idx="20">
                  <c:v>10.342937331640364</c:v>
                </c:pt>
                <c:pt idx="21">
                  <c:v>11.206731950738671</c:v>
                </c:pt>
                <c:pt idx="22">
                  <c:v>12.105164739216594</c:v>
                </c:pt>
                <c:pt idx="23">
                  <c:v>13.038235697074127</c:v>
                </c:pt>
                <c:pt idx="24">
                  <c:v>14.005944824311277</c:v>
                </c:pt>
                <c:pt idx="25">
                  <c:v>15.008292120928036</c:v>
                </c:pt>
                <c:pt idx="26">
                  <c:v>16.045277586924406</c:v>
                </c:pt>
                <c:pt idx="27">
                  <c:v>17.116901222300392</c:v>
                </c:pt>
                <c:pt idx="28">
                  <c:v>18.223163027055996</c:v>
                </c:pt>
                <c:pt idx="29">
                  <c:v>19.364063001191205</c:v>
                </c:pt>
              </c:numCache>
            </c:numRef>
          </c:yVal>
          <c:smooth val="0"/>
        </c:ser>
        <c:dLbls>
          <c:showLegendKey val="0"/>
          <c:showVal val="0"/>
          <c:showCatName val="0"/>
          <c:showSerName val="0"/>
          <c:showPercent val="0"/>
          <c:showBubbleSize val="0"/>
        </c:dLbls>
        <c:axId val="253550592"/>
        <c:axId val="253551168"/>
      </c:scatterChart>
      <c:valAx>
        <c:axId val="253550592"/>
        <c:scaling>
          <c:orientation val="minMax"/>
        </c:scaling>
        <c:delete val="0"/>
        <c:axPos val="b"/>
        <c:title>
          <c:tx>
            <c:rich>
              <a:bodyPr/>
              <a:lstStyle/>
              <a:p>
                <a:pPr>
                  <a:defRPr sz="1000" b="1" i="0" u="none" strike="noStrike" baseline="0">
                    <a:solidFill>
                      <a:srgbClr val="000000"/>
                    </a:solidFill>
                    <a:latin typeface="Arial"/>
                    <a:ea typeface="Arial"/>
                    <a:cs typeface="Arial"/>
                  </a:defRPr>
                </a:pPr>
                <a:r>
                  <a:t>BHD [cm]</a:t>
                </a:r>
              </a:p>
            </c:rich>
          </c:tx>
          <c:layout>
            <c:manualLayout>
              <c:xMode val="edge"/>
              <c:yMode val="edge"/>
              <c:x val="0.43213728549141966"/>
              <c:y val="0.8957827230618058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3551168"/>
        <c:crosses val="autoZero"/>
        <c:crossBetween val="midCat"/>
      </c:valAx>
      <c:valAx>
        <c:axId val="253551168"/>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[m²]</a:t>
                </a:r>
              </a:p>
            </c:rich>
          </c:tx>
          <c:layout>
            <c:manualLayout>
              <c:xMode val="edge"/>
              <c:yMode val="edge"/>
              <c:x val="2.3400936037441498E-2"/>
              <c:y val="0.456576235577208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3550592"/>
        <c:crosses val="autoZero"/>
        <c:crossBetween val="midCat"/>
      </c:valAx>
      <c:spPr>
        <a:noFill/>
        <a:ln w="12700">
          <a:solidFill>
            <a:srgbClr val="808080"/>
          </a:solidFill>
          <a:prstDash val="solid"/>
        </a:ln>
      </c:spPr>
    </c:plotArea>
    <c:legend>
      <c:legendPos val="r"/>
      <c:layout>
        <c:manualLayout>
          <c:xMode val="edge"/>
          <c:yMode val="edge"/>
          <c:x val="0.89391575663026523"/>
          <c:y val="0.44913205782323229"/>
          <c:w val="9.3603744149765994E-2"/>
          <c:h val="0.10669988114032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DBH, DCB, ... </a:t>
            </a:r>
          </a:p>
        </c:rich>
      </c:tx>
      <c:layout>
        <c:manualLayout>
          <c:xMode val="edge"/>
          <c:yMode val="edge"/>
          <c:x val="0.4080563909742288"/>
          <c:y val="3.8461604126154333E-2"/>
        </c:manualLayout>
      </c:layout>
      <c:overlay val="0"/>
      <c:spPr>
        <a:noFill/>
        <a:ln w="25400">
          <a:noFill/>
        </a:ln>
      </c:spPr>
    </c:title>
    <c:autoTitleDeleted val="0"/>
    <c:plotArea>
      <c:layout>
        <c:manualLayout>
          <c:layoutTarget val="inner"/>
          <c:xMode val="edge"/>
          <c:yMode val="edge"/>
          <c:x val="0.11383547387693078"/>
          <c:y val="0.230769624756926"/>
          <c:w val="0.70928256800241485"/>
          <c:h val="0.52797292936811857"/>
        </c:manualLayout>
      </c:layout>
      <c:scatterChart>
        <c:scatterStyle val="smoothMarker"/>
        <c:varyColors val="0"/>
        <c:ser>
          <c:idx val="0"/>
          <c:order val="0"/>
          <c:tx>
            <c:strRef>
              <c:f>'lop-05'!$B$48</c:f>
              <c:strCache>
                <c:ptCount val="1"/>
                <c:pt idx="0">
                  <c:v>Dcb</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'lop-05'!$A$49:$A$73</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xVal>
          <c:yVal>
            <c:numRef>
              <c:f>'lop-05'!$B$49:$B$73</c:f>
              <c:numCache>
                <c:formatCode>General</c:formatCode>
                <c:ptCount val="25"/>
                <c:pt idx="0">
                  <c:v>0.65890743670348695</c:v>
                </c:pt>
                <c:pt idx="1">
                  <c:v>1.3178148734069737</c:v>
                </c:pt>
                <c:pt idx="2">
                  <c:v>1.976722310110461</c:v>
                </c:pt>
                <c:pt idx="3">
                  <c:v>2.6356297468139478</c:v>
                </c:pt>
                <c:pt idx="4">
                  <c:v>3.2945371835174337</c:v>
                </c:pt>
                <c:pt idx="5">
                  <c:v>3.953444620220921</c:v>
                </c:pt>
                <c:pt idx="6">
                  <c:v>4.6123520569244087</c:v>
                </c:pt>
                <c:pt idx="7">
                  <c:v>5.2712594936278938</c:v>
                </c:pt>
                <c:pt idx="8">
                  <c:v>5.9301669303313842</c:v>
                </c:pt>
                <c:pt idx="9">
                  <c:v>6.589074367034871</c:v>
                </c:pt>
                <c:pt idx="10">
                  <c:v>7.2479818037383579</c:v>
                </c:pt>
                <c:pt idx="11">
                  <c:v>7.9068892404418465</c:v>
                </c:pt>
                <c:pt idx="12">
                  <c:v>8.5657966771453289</c:v>
                </c:pt>
                <c:pt idx="13">
                  <c:v>9.2247041138488175</c:v>
                </c:pt>
                <c:pt idx="14">
                  <c:v>9.8836115505523079</c:v>
                </c:pt>
                <c:pt idx="15">
                  <c:v>10.542518987255789</c:v>
                </c:pt>
                <c:pt idx="16">
                  <c:v>11.201426423959282</c:v>
                </c:pt>
                <c:pt idx="17">
                  <c:v>11.860333860662767</c:v>
                </c:pt>
                <c:pt idx="18">
                  <c:v>12.519241297366253</c:v>
                </c:pt>
                <c:pt idx="19">
                  <c:v>13.178148734069735</c:v>
                </c:pt>
                <c:pt idx="20">
                  <c:v>13.837056170773224</c:v>
                </c:pt>
                <c:pt idx="21">
                  <c:v>14.495963607476721</c:v>
                </c:pt>
                <c:pt idx="22">
                  <c:v>15.154871044180197</c:v>
                </c:pt>
                <c:pt idx="23">
                  <c:v>15.813778480883686</c:v>
                </c:pt>
                <c:pt idx="24">
                  <c:v>16.472685917587167</c:v>
                </c:pt>
              </c:numCache>
            </c:numRef>
          </c:yVal>
          <c:smooth val="1"/>
        </c:ser>
        <c:ser>
          <c:idx val="1"/>
          <c:order val="1"/>
          <c:tx>
            <c:strRef>
              <c:f>'lop-05'!$D$48</c:f>
              <c:strCache>
                <c:ptCount val="1"/>
                <c:pt idx="0">
                  <c:v>Dcore</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xVal>
            <c:numRef>
              <c:f>'lop-05'!$A$49:$A$73</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numCache>
            </c:numRef>
          </c:xVal>
          <c:yVal>
            <c:numRef>
              <c:f>'lop-05'!$D$49:$D$73</c:f>
              <c:numCache>
                <c:formatCode>General</c:formatCode>
                <c:ptCount val="25"/>
                <c:pt idx="3">
                  <c:v>8.6165301069433098E-2</c:v>
                </c:pt>
                <c:pt idx="4">
                  <c:v>0.61309074589234547</c:v>
                </c:pt>
                <c:pt idx="5">
                  <c:v>0.97813931392490372</c:v>
                </c:pt>
                <c:pt idx="6">
                  <c:v>1.3297484920277096</c:v>
                </c:pt>
                <c:pt idx="7">
                  <c:v>1.6808484517851998</c:v>
                </c:pt>
                <c:pt idx="8">
                  <c:v>2.0348140010310547</c:v>
                </c:pt>
                <c:pt idx="9">
                  <c:v>2.3926589549966195</c:v>
                </c:pt>
                <c:pt idx="10">
                  <c:v>2.7546160507418649</c:v>
                </c:pt>
                <c:pt idx="11">
                  <c:v>3.1206256736176874</c:v>
                </c:pt>
                <c:pt idx="12">
                  <c:v>3.4905163467411429</c:v>
                </c:pt>
                <c:pt idx="13">
                  <c:v>3.8640785079229083</c:v>
                </c:pt>
                <c:pt idx="14">
                  <c:v>4.2410962835958328</c:v>
                </c:pt>
                <c:pt idx="15">
                  <c:v>4.6213612607224075</c:v>
                </c:pt>
                <c:pt idx="16">
                  <c:v>5.004678104907871</c:v>
                </c:pt>
                <c:pt idx="17">
                  <c:v>5.3908663719722201</c:v>
                </c:pt>
                <c:pt idx="18">
                  <c:v>5.7797605359626303</c:v>
                </c:pt>
                <c:pt idx="19">
                  <c:v>6.1712092097521021</c:v>
                </c:pt>
                <c:pt idx="20">
                  <c:v>6.5650740391348137</c:v>
                </c:pt>
                <c:pt idx="21">
                  <c:v>6.961228508178217</c:v>
                </c:pt>
                <c:pt idx="22">
                  <c:v>7.3595567710045557</c:v>
                </c:pt>
                <c:pt idx="23">
                  <c:v>7.7599525623793699</c:v>
                </c:pt>
                <c:pt idx="24">
                  <c:v>8.1623182071926283</c:v>
                </c:pt>
              </c:numCache>
            </c:numRef>
          </c:yVal>
          <c:smooth val="1"/>
        </c:ser>
        <c:dLbls>
          <c:showLegendKey val="0"/>
          <c:showVal val="0"/>
          <c:showCatName val="0"/>
          <c:showSerName val="0"/>
          <c:showPercent val="0"/>
          <c:showBubbleSize val="0"/>
        </c:dLbls>
        <c:axId val="255253824"/>
        <c:axId val="216629248"/>
      </c:scatterChart>
      <c:valAx>
        <c:axId val="25525382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de-DE"/>
                  <a:t>DBH (cm)</a:t>
                </a:r>
              </a:p>
            </c:rich>
          </c:tx>
          <c:layout>
            <c:manualLayout>
              <c:xMode val="edge"/>
              <c:yMode val="edge"/>
              <c:x val="0.41331033592239486"/>
              <c:y val="0.867134347571479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16629248"/>
        <c:crosses val="autoZero"/>
        <c:crossBetween val="midCat"/>
      </c:valAx>
      <c:valAx>
        <c:axId val="216629248"/>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a:t>DCB, Dcore (cm)</a:t>
                </a:r>
              </a:p>
            </c:rich>
          </c:tx>
          <c:layout>
            <c:manualLayout>
              <c:xMode val="edge"/>
              <c:yMode val="edge"/>
              <c:x val="2.8021039723552195E-2"/>
              <c:y val="0.3076928330092346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253824"/>
        <c:crosses val="autoZero"/>
        <c:crossBetween val="midCat"/>
      </c:valAx>
      <c:spPr>
        <a:solidFill>
          <a:srgbClr val="C0C0C0"/>
        </a:solidFill>
        <a:ln w="12700">
          <a:solidFill>
            <a:srgbClr val="808080"/>
          </a:solidFill>
          <a:prstDash val="solid"/>
        </a:ln>
      </c:spPr>
    </c:plotArea>
    <c:legend>
      <c:legendPos val="r"/>
      <c:layout>
        <c:manualLayout>
          <c:xMode val="edge"/>
          <c:yMode val="edge"/>
          <c:x val="0.85814434153378594"/>
          <c:y val="0.41958113592168367"/>
          <c:w val="0.12784599373870689"/>
          <c:h val="0.1503499070386033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546957436203115E-2"/>
          <c:y val="6.9481065413089821E-2"/>
          <c:w val="0.68338256240653994"/>
          <c:h val="0.82632838509138973"/>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power"/>
            <c:dispRSqr val="1"/>
            <c:dispEq val="1"/>
            <c:trendlineLbl>
              <c:layout>
                <c:manualLayout>
                  <c:xMode val="edge"/>
                  <c:yMode val="edge"/>
                  <c:x val="0.75123615016321765"/>
                  <c:y val="6.6999598791193757E-2"/>
                </c:manualLayout>
              </c:layout>
              <c:numFmt formatCode="General" sourceLinked="0"/>
              <c:spPr>
                <a:noFill/>
                <a:ln w="25400">
                  <a:noFill/>
                </a:ln>
              </c:spPr>
              <c:txPr>
                <a:bodyPr/>
                <a:lstStyle/>
                <a:p>
                  <a:pPr>
                    <a:defRPr sz="900" b="0" i="0" u="none" strike="noStrike" baseline="0">
                      <a:solidFill>
                        <a:srgbClr val="000000"/>
                      </a:solidFill>
                      <a:latin typeface="Arial"/>
                      <a:ea typeface="Arial"/>
                      <a:cs typeface="Arial"/>
                    </a:defRPr>
                  </a:pPr>
                  <a:endParaRPr lang="de-DE"/>
                </a:p>
              </c:txPr>
            </c:trendlineLbl>
          </c:trendline>
          <c:xVal>
            <c:numRef>
              <c:f>LeThiec!$E$7:$E$12</c:f>
              <c:numCache>
                <c:formatCode>General</c:formatCode>
                <c:ptCount val="6"/>
                <c:pt idx="0">
                  <c:v>6.8400000000000002E-2</c:v>
                </c:pt>
                <c:pt idx="1">
                  <c:v>3.7600000000000001E-2</c:v>
                </c:pt>
                <c:pt idx="2">
                  <c:v>4.8600000000000004E-2</c:v>
                </c:pt>
                <c:pt idx="3">
                  <c:v>4.3700000000000003E-2</c:v>
                </c:pt>
                <c:pt idx="4">
                  <c:v>3.8599999999999997E-3</c:v>
                </c:pt>
                <c:pt idx="5">
                  <c:v>9.2599999999999991E-3</c:v>
                </c:pt>
              </c:numCache>
            </c:numRef>
          </c:xVal>
          <c:yVal>
            <c:numRef>
              <c:f>LeThiec!$C$7:$C$12</c:f>
              <c:numCache>
                <c:formatCode>General</c:formatCode>
                <c:ptCount val="6"/>
                <c:pt idx="0">
                  <c:v>9.6599999999999991E-2</c:v>
                </c:pt>
                <c:pt idx="1">
                  <c:v>7.0699999999999999E-2</c:v>
                </c:pt>
                <c:pt idx="2">
                  <c:v>6.1899999999999997E-2</c:v>
                </c:pt>
                <c:pt idx="3">
                  <c:v>5.91E-2</c:v>
                </c:pt>
                <c:pt idx="4">
                  <c:v>3.2299999999999998E-3</c:v>
                </c:pt>
                <c:pt idx="5">
                  <c:v>8.6400000000000001E-3</c:v>
                </c:pt>
              </c:numCache>
            </c:numRef>
          </c:yVal>
          <c:smooth val="0"/>
        </c:ser>
        <c:ser>
          <c:idx val="1"/>
          <c:order val="1"/>
          <c:tx>
            <c:v>Pinus sylv.</c:v>
          </c:tx>
          <c:spPr>
            <a:ln w="28575">
              <a:noFill/>
            </a:ln>
          </c:spPr>
          <c:marker>
            <c:symbol val="square"/>
            <c:size val="5"/>
            <c:spPr>
              <a:solidFill>
                <a:srgbClr val="008000"/>
              </a:solidFill>
              <a:ln>
                <a:solidFill>
                  <a:srgbClr val="008000"/>
                </a:solidFill>
                <a:prstDash val="solid"/>
              </a:ln>
            </c:spPr>
          </c:marker>
          <c:xVal>
            <c:numRef>
              <c:f>LeThiec!$E$7:$E$12</c:f>
              <c:numCache>
                <c:formatCode>General</c:formatCode>
                <c:ptCount val="6"/>
                <c:pt idx="0">
                  <c:v>6.8400000000000002E-2</c:v>
                </c:pt>
                <c:pt idx="1">
                  <c:v>3.7600000000000001E-2</c:v>
                </c:pt>
                <c:pt idx="2">
                  <c:v>4.8600000000000004E-2</c:v>
                </c:pt>
                <c:pt idx="3">
                  <c:v>4.3700000000000003E-2</c:v>
                </c:pt>
                <c:pt idx="4">
                  <c:v>3.8599999999999997E-3</c:v>
                </c:pt>
                <c:pt idx="5">
                  <c:v>9.2599999999999991E-3</c:v>
                </c:pt>
              </c:numCache>
            </c:numRef>
          </c:xVal>
          <c:yVal>
            <c:numRef>
              <c:f>LeThiec!$G$7:$G$12</c:f>
              <c:numCache>
                <c:formatCode>General</c:formatCode>
                <c:ptCount val="6"/>
                <c:pt idx="0">
                  <c:v>6.3610670285565746E-2</c:v>
                </c:pt>
                <c:pt idx="1">
                  <c:v>4.2382187925041455E-2</c:v>
                </c:pt>
                <c:pt idx="2">
                  <c:v>5.0444320181502106E-2</c:v>
                </c:pt>
                <c:pt idx="3">
                  <c:v>4.6934436105826212E-2</c:v>
                </c:pt>
                <c:pt idx="4">
                  <c:v>9.0431356660538396E-3</c:v>
                </c:pt>
                <c:pt idx="5">
                  <c:v>1.6375822293968403E-2</c:v>
                </c:pt>
              </c:numCache>
            </c:numRef>
          </c:yVal>
          <c:smooth val="0"/>
        </c:ser>
        <c:ser>
          <c:idx val="2"/>
          <c:order val="2"/>
          <c:spPr>
            <a:ln w="28575">
              <a:noFill/>
            </a:ln>
          </c:spPr>
          <c:marker>
            <c:symbol val="plus"/>
            <c:size val="5"/>
            <c:spPr>
              <a:solidFill>
                <a:srgbClr val="FF6600"/>
              </a:solidFill>
              <a:ln>
                <a:solidFill>
                  <a:srgbClr val="FF6600"/>
                </a:solidFill>
                <a:prstDash val="solid"/>
              </a:ln>
            </c:spPr>
          </c:marker>
          <c:xVal>
            <c:numRef>
              <c:f>LeThiec!$E$7:$E$12</c:f>
              <c:numCache>
                <c:formatCode>General</c:formatCode>
                <c:ptCount val="6"/>
                <c:pt idx="0">
                  <c:v>6.8400000000000002E-2</c:v>
                </c:pt>
                <c:pt idx="1">
                  <c:v>3.7600000000000001E-2</c:v>
                </c:pt>
                <c:pt idx="2">
                  <c:v>4.8600000000000004E-2</c:v>
                </c:pt>
                <c:pt idx="3">
                  <c:v>4.3700000000000003E-2</c:v>
                </c:pt>
                <c:pt idx="4">
                  <c:v>3.8599999999999997E-3</c:v>
                </c:pt>
                <c:pt idx="5">
                  <c:v>9.2599999999999991E-3</c:v>
                </c:pt>
              </c:numCache>
            </c:numRef>
          </c:xVal>
          <c:yVal>
            <c:numRef>
              <c:f>LeThiec!$H$7:$H$12</c:f>
              <c:numCache>
                <c:formatCode>General</c:formatCode>
                <c:ptCount val="6"/>
                <c:pt idx="0">
                  <c:v>8.8550795179750563E-2</c:v>
                </c:pt>
                <c:pt idx="1">
                  <c:v>6.0067826007983813E-2</c:v>
                </c:pt>
                <c:pt idx="2">
                  <c:v>7.0945909756951225E-2</c:v>
                </c:pt>
                <c:pt idx="3">
                  <c:v>6.6220329580866696E-2</c:v>
                </c:pt>
                <c:pt idx="4">
                  <c:v>1.3722574704176755E-2</c:v>
                </c:pt>
                <c:pt idx="5">
                  <c:v>2.4205773427724515E-2</c:v>
                </c:pt>
              </c:numCache>
            </c:numRef>
          </c:yVal>
          <c:smooth val="0"/>
        </c:ser>
        <c:dLbls>
          <c:showLegendKey val="0"/>
          <c:showVal val="0"/>
          <c:showCatName val="0"/>
          <c:showSerName val="0"/>
          <c:showPercent val="0"/>
          <c:showBubbleSize val="0"/>
        </c:dLbls>
        <c:axId val="255003456"/>
        <c:axId val="255004032"/>
      </c:scatterChart>
      <c:valAx>
        <c:axId val="255003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55004032"/>
        <c:crosses val="autoZero"/>
        <c:crossBetween val="midCat"/>
      </c:valAx>
      <c:valAx>
        <c:axId val="2550040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255003456"/>
        <c:crosses val="autoZero"/>
        <c:crossBetween val="midCat"/>
      </c:valAx>
      <c:spPr>
        <a:noFill/>
        <a:ln w="12700">
          <a:solidFill>
            <a:srgbClr val="808080"/>
          </a:solidFill>
          <a:prstDash val="solid"/>
        </a:ln>
      </c:spPr>
    </c:plotArea>
    <c:legend>
      <c:legendPos val="r"/>
      <c:layout>
        <c:manualLayout>
          <c:xMode val="edge"/>
          <c:yMode val="edge"/>
          <c:x val="0.75931395822948888"/>
          <c:y val="0.42433079234422716"/>
          <c:w val="0.23425643392186357"/>
          <c:h val="0.21092466286116554"/>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3586379144739"/>
          <c:y val="6.9309248283605809E-2"/>
          <c:w val="0.64195591743190017"/>
          <c:h val="0.76240173111966392"/>
        </c:manualLayout>
      </c:layout>
      <c:scatterChart>
        <c:scatterStyle val="lineMarker"/>
        <c:varyColors val="0"/>
        <c:ser>
          <c:idx val="0"/>
          <c:order val="0"/>
          <c:spPr>
            <a:ln w="28575">
              <a:noFill/>
            </a:ln>
          </c:spPr>
          <c:marker>
            <c:symbol val="diamond"/>
            <c:size val="5"/>
            <c:spPr>
              <a:solidFill>
                <a:srgbClr val="FF0000"/>
              </a:solidFill>
              <a:ln>
                <a:solidFill>
                  <a:srgbClr val="FF0000"/>
                </a:solidFill>
                <a:prstDash val="solid"/>
              </a:ln>
            </c:spPr>
          </c:marker>
          <c:trendline>
            <c:spPr>
              <a:ln w="25400">
                <a:solidFill>
                  <a:srgbClr val="000000"/>
                </a:solidFill>
                <a:prstDash val="solid"/>
              </a:ln>
            </c:spPr>
            <c:trendlineType val="power"/>
            <c:dispRSqr val="1"/>
            <c:dispEq val="1"/>
            <c:trendlineLbl>
              <c:layout>
                <c:manualLayout>
                  <c:xMode val="edge"/>
                  <c:yMode val="edge"/>
                  <c:x val="0.79841251037384564"/>
                  <c:y val="6.4358587691919683E-2"/>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Ref>
              <c:f>LeThiec!$E$7:$E$10</c:f>
              <c:numCache>
                <c:formatCode>General</c:formatCode>
                <c:ptCount val="4"/>
                <c:pt idx="0">
                  <c:v>6.8400000000000002E-2</c:v>
                </c:pt>
                <c:pt idx="1">
                  <c:v>3.7600000000000001E-2</c:v>
                </c:pt>
                <c:pt idx="2">
                  <c:v>4.8600000000000004E-2</c:v>
                </c:pt>
                <c:pt idx="3">
                  <c:v>4.3700000000000003E-2</c:v>
                </c:pt>
              </c:numCache>
            </c:numRef>
          </c:xVal>
          <c:yVal>
            <c:numRef>
              <c:f>LeThiec!$C$7:$C$10</c:f>
              <c:numCache>
                <c:formatCode>General</c:formatCode>
                <c:ptCount val="4"/>
                <c:pt idx="0">
                  <c:v>9.6599999999999991E-2</c:v>
                </c:pt>
                <c:pt idx="1">
                  <c:v>7.0699999999999999E-2</c:v>
                </c:pt>
                <c:pt idx="2">
                  <c:v>6.1899999999999997E-2</c:v>
                </c:pt>
                <c:pt idx="3">
                  <c:v>5.91E-2</c:v>
                </c:pt>
              </c:numCache>
            </c:numRef>
          </c:yVal>
          <c:smooth val="0"/>
        </c:ser>
        <c:dLbls>
          <c:showLegendKey val="0"/>
          <c:showVal val="0"/>
          <c:showCatName val="0"/>
          <c:showSerName val="0"/>
          <c:showPercent val="0"/>
          <c:showBubbleSize val="0"/>
        </c:dLbls>
        <c:axId val="255005760"/>
        <c:axId val="255006336"/>
      </c:scatterChart>
      <c:valAx>
        <c:axId val="255005760"/>
        <c:scaling>
          <c:orientation val="minMax"/>
        </c:scaling>
        <c:delete val="0"/>
        <c:axPos val="b"/>
        <c:title>
          <c:tx>
            <c:rich>
              <a:bodyPr/>
              <a:lstStyle/>
              <a:p>
                <a:pPr>
                  <a:defRPr sz="1000" b="1" i="0" u="none" strike="noStrike" baseline="0">
                    <a:solidFill>
                      <a:srgbClr val="000000"/>
                    </a:solidFill>
                    <a:latin typeface="Arial"/>
                    <a:ea typeface="Arial"/>
                    <a:cs typeface="Arial"/>
                  </a:defRPr>
                </a:pPr>
                <a:r>
                  <a:t>stem[kg]</a:t>
                </a:r>
              </a:p>
            </c:rich>
          </c:tx>
          <c:layout>
            <c:manualLayout>
              <c:xMode val="edge"/>
              <c:yMode val="edge"/>
              <c:x val="0.39517386877089333"/>
              <c:y val="0.9084462185744047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06336"/>
        <c:crosses val="autoZero"/>
        <c:crossBetween val="midCat"/>
      </c:valAx>
      <c:valAx>
        <c:axId val="25500633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needle [kg]</a:t>
                </a:r>
              </a:p>
            </c:rich>
          </c:tx>
          <c:layout>
            <c:manualLayout>
              <c:xMode val="edge"/>
              <c:yMode val="edge"/>
              <c:x val="2.2581363929765331E-2"/>
              <c:y val="0.3589228928972443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05760"/>
        <c:crosses val="autoZero"/>
        <c:crossBetween val="midCat"/>
      </c:valAx>
      <c:spPr>
        <a:noFill/>
        <a:ln w="12700">
          <a:solidFill>
            <a:srgbClr val="808080"/>
          </a:solidFill>
          <a:prstDash val="solid"/>
        </a:ln>
      </c:spPr>
    </c:plotArea>
    <c:legend>
      <c:legendPos val="r"/>
      <c:layout>
        <c:manualLayout>
          <c:xMode val="edge"/>
          <c:yMode val="edge"/>
          <c:x val="0.75970160077996229"/>
          <c:y val="0.47278808650602538"/>
          <c:w val="0.23387841212971236"/>
          <c:h val="0.1064392027212517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0.xml"/><Relationship Id="rId7" Type="http://schemas.openxmlformats.org/officeDocument/2006/relationships/chart" Target="../charts/chart14.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chart" Target="../charts/chart21.xml"/><Relationship Id="rId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7</xdr:col>
      <xdr:colOff>57150</xdr:colOff>
      <xdr:row>10</xdr:row>
      <xdr:rowOff>85725</xdr:rowOff>
    </xdr:from>
    <xdr:to>
      <xdr:col>14</xdr:col>
      <xdr:colOff>619125</xdr:colOff>
      <xdr:row>33</xdr:row>
      <xdr:rowOff>38100</xdr:rowOff>
    </xdr:to>
    <xdr:graphicFrame macro="">
      <xdr:nvGraphicFramePr>
        <xdr:cNvPr id="614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15</xdr:row>
      <xdr:rowOff>95250</xdr:rowOff>
    </xdr:from>
    <xdr:to>
      <xdr:col>6</xdr:col>
      <xdr:colOff>285750</xdr:colOff>
      <xdr:row>32</xdr:row>
      <xdr:rowOff>66675</xdr:rowOff>
    </xdr:to>
    <xdr:graphicFrame macro="">
      <xdr:nvGraphicFramePr>
        <xdr:cNvPr id="102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485775</xdr:colOff>
      <xdr:row>15</xdr:row>
      <xdr:rowOff>104775</xdr:rowOff>
    </xdr:from>
    <xdr:to>
      <xdr:col>12</xdr:col>
      <xdr:colOff>590550</xdr:colOff>
      <xdr:row>32</xdr:row>
      <xdr:rowOff>76200</xdr:rowOff>
    </xdr:to>
    <xdr:graphicFrame macro="">
      <xdr:nvGraphicFramePr>
        <xdr:cNvPr id="102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17</xdr:row>
      <xdr:rowOff>95250</xdr:rowOff>
    </xdr:from>
    <xdr:to>
      <xdr:col>6</xdr:col>
      <xdr:colOff>228600</xdr:colOff>
      <xdr:row>34</xdr:row>
      <xdr:rowOff>66675</xdr:rowOff>
    </xdr:to>
    <xdr:graphicFrame macro="">
      <xdr:nvGraphicFramePr>
        <xdr:cNvPr id="204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419100</xdr:colOff>
      <xdr:row>18</xdr:row>
      <xdr:rowOff>19050</xdr:rowOff>
    </xdr:from>
    <xdr:to>
      <xdr:col>13</xdr:col>
      <xdr:colOff>523875</xdr:colOff>
      <xdr:row>34</xdr:row>
      <xdr:rowOff>152400</xdr:rowOff>
    </xdr:to>
    <xdr:graphicFrame macro="">
      <xdr:nvGraphicFramePr>
        <xdr:cNvPr id="205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6</xdr:row>
      <xdr:rowOff>9525</xdr:rowOff>
    </xdr:from>
    <xdr:to>
      <xdr:col>14</xdr:col>
      <xdr:colOff>9525</xdr:colOff>
      <xdr:row>29</xdr:row>
      <xdr:rowOff>123825</xdr:rowOff>
    </xdr:to>
    <xdr:graphicFrame macro="">
      <xdr:nvGraphicFramePr>
        <xdr:cNvPr id="409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514350</xdr:colOff>
      <xdr:row>47</xdr:row>
      <xdr:rowOff>95250</xdr:rowOff>
    </xdr:from>
    <xdr:to>
      <xdr:col>13</xdr:col>
      <xdr:colOff>619125</xdr:colOff>
      <xdr:row>64</xdr:row>
      <xdr:rowOff>66675</xdr:rowOff>
    </xdr:to>
    <xdr:graphicFrame macro="">
      <xdr:nvGraphicFramePr>
        <xdr:cNvPr id="307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38100</xdr:colOff>
      <xdr:row>23</xdr:row>
      <xdr:rowOff>0</xdr:rowOff>
    </xdr:from>
    <xdr:to>
      <xdr:col>12</xdr:col>
      <xdr:colOff>600075</xdr:colOff>
      <xdr:row>46</xdr:row>
      <xdr:rowOff>114300</xdr:rowOff>
    </xdr:to>
    <xdr:graphicFrame macro="">
      <xdr:nvGraphicFramePr>
        <xdr:cNvPr id="716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48</xdr:row>
      <xdr:rowOff>9525</xdr:rowOff>
    </xdr:from>
    <xdr:to>
      <xdr:col>12</xdr:col>
      <xdr:colOff>571500</xdr:colOff>
      <xdr:row>71</xdr:row>
      <xdr:rowOff>133350</xdr:rowOff>
    </xdr:to>
    <xdr:graphicFrame macro="">
      <xdr:nvGraphicFramePr>
        <xdr:cNvPr id="717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66675</xdr:colOff>
      <xdr:row>93</xdr:row>
      <xdr:rowOff>9525</xdr:rowOff>
    </xdr:from>
    <xdr:to>
      <xdr:col>21</xdr:col>
      <xdr:colOff>647700</xdr:colOff>
      <xdr:row>116</xdr:row>
      <xdr:rowOff>142875</xdr:rowOff>
    </xdr:to>
    <xdr:graphicFrame macro="">
      <xdr:nvGraphicFramePr>
        <xdr:cNvPr id="717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28575</xdr:colOff>
      <xdr:row>92</xdr:row>
      <xdr:rowOff>152400</xdr:rowOff>
    </xdr:from>
    <xdr:to>
      <xdr:col>12</xdr:col>
      <xdr:colOff>609600</xdr:colOff>
      <xdr:row>116</xdr:row>
      <xdr:rowOff>123825</xdr:rowOff>
    </xdr:to>
    <xdr:graphicFrame macro="">
      <xdr:nvGraphicFramePr>
        <xdr:cNvPr id="7174"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28575</xdr:colOff>
      <xdr:row>48</xdr:row>
      <xdr:rowOff>28575</xdr:rowOff>
    </xdr:from>
    <xdr:to>
      <xdr:col>21</xdr:col>
      <xdr:colOff>76200</xdr:colOff>
      <xdr:row>72</xdr:row>
      <xdr:rowOff>0</xdr:rowOff>
    </xdr:to>
    <xdr:graphicFrame macro="">
      <xdr:nvGraphicFramePr>
        <xdr:cNvPr id="717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0</xdr:colOff>
      <xdr:row>73</xdr:row>
      <xdr:rowOff>0</xdr:rowOff>
    </xdr:from>
    <xdr:to>
      <xdr:col>10</xdr:col>
      <xdr:colOff>628650</xdr:colOff>
      <xdr:row>91</xdr:row>
      <xdr:rowOff>38100</xdr:rowOff>
    </xdr:to>
    <xdr:graphicFrame macro="">
      <xdr:nvGraphicFramePr>
        <xdr:cNvPr id="71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0</xdr:colOff>
      <xdr:row>73</xdr:row>
      <xdr:rowOff>0</xdr:rowOff>
    </xdr:from>
    <xdr:to>
      <xdr:col>19</xdr:col>
      <xdr:colOff>238125</xdr:colOff>
      <xdr:row>91</xdr:row>
      <xdr:rowOff>47625</xdr:rowOff>
    </xdr:to>
    <xdr:graphicFrame macro="">
      <xdr:nvGraphicFramePr>
        <xdr:cNvPr id="717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xdr:col>
      <xdr:colOff>19050</xdr:colOff>
      <xdr:row>20</xdr:row>
      <xdr:rowOff>0</xdr:rowOff>
    </xdr:from>
    <xdr:to>
      <xdr:col>9</xdr:col>
      <xdr:colOff>581025</xdr:colOff>
      <xdr:row>43</xdr:row>
      <xdr:rowOff>114300</xdr:rowOff>
    </xdr:to>
    <xdr:graphicFrame macro="">
      <xdr:nvGraphicFramePr>
        <xdr:cNvPr id="51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20</xdr:row>
      <xdr:rowOff>0</xdr:rowOff>
    </xdr:from>
    <xdr:to>
      <xdr:col>17</xdr:col>
      <xdr:colOff>571500</xdr:colOff>
      <xdr:row>43</xdr:row>
      <xdr:rowOff>123825</xdr:rowOff>
    </xdr:to>
    <xdr:graphicFrame macro="">
      <xdr:nvGraphicFramePr>
        <xdr:cNvPr id="512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13</xdr:col>
      <xdr:colOff>0</xdr:colOff>
      <xdr:row>38</xdr:row>
      <xdr:rowOff>9525</xdr:rowOff>
    </xdr:from>
    <xdr:to>
      <xdr:col>18</xdr:col>
      <xdr:colOff>695325</xdr:colOff>
      <xdr:row>59</xdr:row>
      <xdr:rowOff>123825</xdr:rowOff>
    </xdr:to>
    <xdr:graphicFrame macro="">
      <xdr:nvGraphicFramePr>
        <xdr:cNvPr id="819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38</xdr:row>
      <xdr:rowOff>0</xdr:rowOff>
    </xdr:from>
    <xdr:to>
      <xdr:col>12</xdr:col>
      <xdr:colOff>552450</xdr:colOff>
      <xdr:row>59</xdr:row>
      <xdr:rowOff>123825</xdr:rowOff>
    </xdr:to>
    <xdr:graphicFrame macro="">
      <xdr:nvGraphicFramePr>
        <xdr:cNvPr id="8198"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0</xdr:colOff>
      <xdr:row>3</xdr:row>
      <xdr:rowOff>142875</xdr:rowOff>
    </xdr:from>
    <xdr:to>
      <xdr:col>27</xdr:col>
      <xdr:colOff>180975</xdr:colOff>
      <xdr:row>27</xdr:row>
      <xdr:rowOff>9525</xdr:rowOff>
    </xdr:to>
    <xdr:graphicFrame macro="">
      <xdr:nvGraphicFramePr>
        <xdr:cNvPr id="819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0</xdr:colOff>
      <xdr:row>30</xdr:row>
      <xdr:rowOff>9525</xdr:rowOff>
    </xdr:from>
    <xdr:to>
      <xdr:col>27</xdr:col>
      <xdr:colOff>180975</xdr:colOff>
      <xdr:row>53</xdr:row>
      <xdr:rowOff>38100</xdr:rowOff>
    </xdr:to>
    <xdr:graphicFrame macro="">
      <xdr:nvGraphicFramePr>
        <xdr:cNvPr id="820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0</xdr:colOff>
      <xdr:row>3</xdr:row>
      <xdr:rowOff>133350</xdr:rowOff>
    </xdr:from>
    <xdr:to>
      <xdr:col>35</xdr:col>
      <xdr:colOff>190500</xdr:colOff>
      <xdr:row>27</xdr:row>
      <xdr:rowOff>9525</xdr:rowOff>
    </xdr:to>
    <xdr:graphicFrame macro="">
      <xdr:nvGraphicFramePr>
        <xdr:cNvPr id="8201"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C29" sqref="C29"/>
    </sheetView>
  </sheetViews>
  <sheetFormatPr baseColWidth="10" defaultRowHeight="12.75" x14ac:dyDescent="0.2"/>
  <sheetData>
    <row r="1" spans="1:3" x14ac:dyDescent="0.2">
      <c r="A1" t="s">
        <v>0</v>
      </c>
    </row>
    <row r="3" spans="1:3" x14ac:dyDescent="0.2">
      <c r="A3" t="s">
        <v>1</v>
      </c>
      <c r="B3" t="s">
        <v>2</v>
      </c>
      <c r="C3" t="s">
        <v>3</v>
      </c>
    </row>
    <row r="4" spans="1:3" x14ac:dyDescent="0.2">
      <c r="A4" t="s">
        <v>21</v>
      </c>
      <c r="B4" t="s">
        <v>22</v>
      </c>
      <c r="C4" t="s">
        <v>23</v>
      </c>
    </row>
    <row r="5" spans="1:3" x14ac:dyDescent="0.2">
      <c r="A5" s="3" t="s">
        <v>71</v>
      </c>
      <c r="B5" t="s">
        <v>72</v>
      </c>
      <c r="C5" t="s">
        <v>73</v>
      </c>
    </row>
    <row r="6" spans="1:3" x14ac:dyDescent="0.2">
      <c r="A6" t="s">
        <v>74</v>
      </c>
      <c r="B6" t="s">
        <v>75</v>
      </c>
    </row>
    <row r="7" spans="1:3" x14ac:dyDescent="0.2">
      <c r="A7" t="s">
        <v>92</v>
      </c>
      <c r="B7" t="s">
        <v>93</v>
      </c>
      <c r="C7" t="s">
        <v>119</v>
      </c>
    </row>
    <row r="8" spans="1:3" x14ac:dyDescent="0.2">
      <c r="A8" t="s">
        <v>117</v>
      </c>
      <c r="B8" t="s">
        <v>118</v>
      </c>
      <c r="C8" t="s">
        <v>94</v>
      </c>
    </row>
    <row r="9" spans="1:3" x14ac:dyDescent="0.2">
      <c r="A9" t="s">
        <v>149</v>
      </c>
      <c r="B9" t="s">
        <v>150</v>
      </c>
      <c r="C9" t="s">
        <v>151</v>
      </c>
    </row>
    <row r="10" spans="1:3" x14ac:dyDescent="0.2">
      <c r="A10" t="s">
        <v>10</v>
      </c>
      <c r="C10" t="s">
        <v>175</v>
      </c>
    </row>
  </sheetData>
  <phoneticPr fontId="0" type="noConversion"/>
  <pageMargins left="0.78740157499999996" right="0.78740157499999996" top="0.984251969" bottom="0.984251969" header="0.4921259845" footer="0.492125984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workbookViewId="0">
      <selection activeCell="L35" sqref="L35"/>
    </sheetView>
  </sheetViews>
  <sheetFormatPr baseColWidth="10" defaultRowHeight="12.75" x14ac:dyDescent="0.2"/>
  <sheetData>
    <row r="1" spans="1:11" x14ac:dyDescent="0.2">
      <c r="A1" t="s">
        <v>242</v>
      </c>
      <c r="H1" t="s">
        <v>259</v>
      </c>
    </row>
    <row r="2" spans="1:11" x14ac:dyDescent="0.2">
      <c r="A2" t="s">
        <v>243</v>
      </c>
      <c r="H2" t="s">
        <v>253</v>
      </c>
      <c r="J2" t="s">
        <v>257</v>
      </c>
      <c r="K2" t="s">
        <v>256</v>
      </c>
    </row>
    <row r="3" spans="1:11" x14ac:dyDescent="0.2">
      <c r="B3" t="s">
        <v>244</v>
      </c>
      <c r="C3" t="s">
        <v>245</v>
      </c>
      <c r="D3" t="s">
        <v>246</v>
      </c>
      <c r="H3" t="s">
        <v>254</v>
      </c>
      <c r="I3" t="s">
        <v>255</v>
      </c>
    </row>
    <row r="4" spans="1:11" x14ac:dyDescent="0.2">
      <c r="A4">
        <v>1</v>
      </c>
      <c r="B4">
        <f>0.088*POWER(A4,2.25)</f>
        <v>8.7999999999999995E-2</v>
      </c>
      <c r="C4">
        <f>0.017*POWER(A4,2.53)</f>
        <v>1.7000000000000001E-2</v>
      </c>
      <c r="D4">
        <f>C4/B4</f>
        <v>0.1931818181818182</v>
      </c>
      <c r="H4">
        <f>0.026*POWER(A4,1.93)</f>
        <v>2.5999999999999999E-2</v>
      </c>
      <c r="I4">
        <f>0.173*POWER(A4,1.8)</f>
        <v>0.17299999999999999</v>
      </c>
      <c r="J4">
        <f>H4/I4</f>
        <v>0.15028901734104047</v>
      </c>
      <c r="K4">
        <f>H4*1000*1000/(I4*10000)</f>
        <v>15.028901734104048</v>
      </c>
    </row>
    <row r="5" spans="1:11" x14ac:dyDescent="0.2">
      <c r="A5">
        <v>2</v>
      </c>
      <c r="B5">
        <f t="shared" ref="B5:B33" si="0">0.088*POWER(A5,2.25)</f>
        <v>0.41860090448095777</v>
      </c>
      <c r="C5">
        <f t="shared" ref="C5:C25" si="1">0.017*POWER(A5,2.53)</f>
        <v>9.8187185295529736E-2</v>
      </c>
      <c r="D5">
        <f t="shared" ref="D5:D33" si="2">C5/B5</f>
        <v>0.23456037539449773</v>
      </c>
      <c r="H5">
        <f t="shared" ref="H5:H33" si="3">0.026*POWER(A5,1.93)</f>
        <v>9.9074351796569468E-2</v>
      </c>
      <c r="I5">
        <f t="shared" ref="I5:I33" si="4">0.173*POWER(A5,1.8)</f>
        <v>0.60242098980091785</v>
      </c>
      <c r="J5">
        <f t="shared" ref="J5:J33" si="5">H5/I5</f>
        <v>0.1644603250449666</v>
      </c>
      <c r="K5">
        <f t="shared" ref="K5:K33" si="6">H5*1000*1000/(I5*10000)</f>
        <v>16.446032504496664</v>
      </c>
    </row>
    <row r="6" spans="1:11" x14ac:dyDescent="0.2">
      <c r="A6">
        <v>3</v>
      </c>
      <c r="B6">
        <f t="shared" si="0"/>
        <v>1.042330618258374</v>
      </c>
      <c r="C6">
        <f t="shared" si="1"/>
        <v>0.27388339069199846</v>
      </c>
      <c r="D6">
        <f t="shared" si="2"/>
        <v>0.26276057317555257</v>
      </c>
      <c r="H6">
        <f t="shared" si="3"/>
        <v>0.21667927290141253</v>
      </c>
      <c r="I6">
        <f t="shared" si="4"/>
        <v>1.2498686116606794</v>
      </c>
      <c r="J6">
        <f t="shared" si="5"/>
        <v>0.17336164047956562</v>
      </c>
      <c r="K6">
        <f t="shared" si="6"/>
        <v>17.336164047956565</v>
      </c>
    </row>
    <row r="7" spans="1:11" x14ac:dyDescent="0.2">
      <c r="A7">
        <v>4</v>
      </c>
      <c r="B7">
        <f t="shared" si="0"/>
        <v>1.9912126958213174</v>
      </c>
      <c r="C7">
        <f t="shared" si="1"/>
        <v>0.56710137389756998</v>
      </c>
      <c r="D7">
        <f t="shared" si="2"/>
        <v>0.28480200788578097</v>
      </c>
      <c r="H7">
        <f t="shared" si="3"/>
        <v>0.37752796861193882</v>
      </c>
      <c r="I7">
        <f t="shared" si="4"/>
        <v>2.0977517280503908</v>
      </c>
      <c r="J7">
        <f t="shared" si="5"/>
        <v>0.1799678978040008</v>
      </c>
      <c r="K7">
        <f t="shared" si="6"/>
        <v>17.996789780400082</v>
      </c>
    </row>
    <row r="8" spans="1:11" x14ac:dyDescent="0.2">
      <c r="A8">
        <v>5</v>
      </c>
      <c r="B8">
        <f t="shared" si="0"/>
        <v>3.2897673186866836</v>
      </c>
      <c r="C8">
        <f t="shared" si="1"/>
        <v>0.99733952887524002</v>
      </c>
      <c r="D8">
        <f t="shared" si="2"/>
        <v>0.30316415486594062</v>
      </c>
      <c r="H8">
        <f t="shared" si="3"/>
        <v>0.58074496919870722</v>
      </c>
      <c r="I8">
        <f t="shared" si="4"/>
        <v>3.1346720454060328</v>
      </c>
      <c r="J8">
        <f t="shared" si="5"/>
        <v>0.18526498491279444</v>
      </c>
      <c r="K8">
        <f t="shared" si="6"/>
        <v>18.526498491279444</v>
      </c>
    </row>
    <row r="9" spans="1:11" x14ac:dyDescent="0.2">
      <c r="A9">
        <v>6</v>
      </c>
      <c r="B9">
        <f t="shared" si="0"/>
        <v>4.9581879496721726</v>
      </c>
      <c r="C9">
        <f t="shared" si="1"/>
        <v>1.5818728959554835</v>
      </c>
      <c r="D9">
        <f t="shared" si="2"/>
        <v>0.31904254377046648</v>
      </c>
      <c r="H9">
        <f t="shared" si="3"/>
        <v>0.82566763501767004</v>
      </c>
      <c r="I9">
        <f t="shared" si="4"/>
        <v>4.3522952957093963</v>
      </c>
      <c r="J9">
        <f t="shared" si="5"/>
        <v>0.18970855121701743</v>
      </c>
      <c r="K9">
        <f t="shared" si="6"/>
        <v>18.970855121701742</v>
      </c>
    </row>
    <row r="10" spans="1:11" x14ac:dyDescent="0.2">
      <c r="A10">
        <v>7</v>
      </c>
      <c r="B10">
        <f t="shared" si="0"/>
        <v>7.0137981340408508</v>
      </c>
      <c r="C10">
        <f t="shared" si="1"/>
        <v>2.3363987360079519</v>
      </c>
      <c r="D10">
        <f t="shared" si="2"/>
        <v>0.33311462510853379</v>
      </c>
      <c r="H10">
        <f t="shared" si="3"/>
        <v>1.1117638928565907</v>
      </c>
      <c r="I10">
        <f t="shared" si="4"/>
        <v>5.7441077128958771</v>
      </c>
      <c r="J10">
        <f t="shared" si="5"/>
        <v>0.19354858028873867</v>
      </c>
      <c r="K10">
        <f t="shared" si="6"/>
        <v>19.354858028873867</v>
      </c>
    </row>
    <row r="11" spans="1:11" x14ac:dyDescent="0.2">
      <c r="A11">
        <v>8</v>
      </c>
      <c r="B11">
        <f t="shared" si="0"/>
        <v>9.4718572214178334</v>
      </c>
      <c r="C11">
        <f t="shared" si="1"/>
        <v>3.2754169223664809</v>
      </c>
      <c r="D11">
        <f t="shared" si="2"/>
        <v>0.34580514104035309</v>
      </c>
      <c r="H11">
        <f t="shared" si="3"/>
        <v>1.4385899528962867</v>
      </c>
      <c r="I11">
        <f t="shared" si="4"/>
        <v>7.3047957940387391</v>
      </c>
      <c r="J11">
        <f t="shared" si="5"/>
        <v>0.19693773699605455</v>
      </c>
      <c r="K11">
        <f t="shared" si="6"/>
        <v>19.693773699605451</v>
      </c>
    </row>
    <row r="12" spans="1:11" x14ac:dyDescent="0.2">
      <c r="A12">
        <v>9</v>
      </c>
      <c r="B12">
        <f t="shared" si="0"/>
        <v>12.346058156350956</v>
      </c>
      <c r="C12">
        <f t="shared" si="1"/>
        <v>4.412477158643874</v>
      </c>
      <c r="D12">
        <f t="shared" si="2"/>
        <v>0.35739967386870314</v>
      </c>
      <c r="H12">
        <f t="shared" si="3"/>
        <v>1.8057656655801846</v>
      </c>
      <c r="I12">
        <f t="shared" si="4"/>
        <v>9.0298933318762682</v>
      </c>
      <c r="J12">
        <f t="shared" si="5"/>
        <v>0.19997641159344406</v>
      </c>
      <c r="K12">
        <f t="shared" si="6"/>
        <v>19.997641159344404</v>
      </c>
    </row>
    <row r="13" spans="1:11" x14ac:dyDescent="0.2">
      <c r="A13">
        <v>10</v>
      </c>
      <c r="B13">
        <f t="shared" si="0"/>
        <v>15.648858808342531</v>
      </c>
      <c r="C13">
        <f t="shared" si="1"/>
        <v>5.7603506543664427</v>
      </c>
      <c r="D13">
        <f t="shared" si="2"/>
        <v>0.36810036597017248</v>
      </c>
      <c r="H13">
        <f t="shared" si="3"/>
        <v>2.2129588993261793</v>
      </c>
      <c r="I13">
        <f t="shared" si="4"/>
        <v>10.91556205950735</v>
      </c>
      <c r="J13">
        <f t="shared" si="5"/>
        <v>0.20273430605423687</v>
      </c>
      <c r="K13">
        <f t="shared" si="6"/>
        <v>20.273430605423687</v>
      </c>
    </row>
    <row r="14" spans="1:11" x14ac:dyDescent="0.2">
      <c r="A14">
        <v>11</v>
      </c>
      <c r="B14">
        <f t="shared" si="0"/>
        <v>19.391714734249671</v>
      </c>
      <c r="C14">
        <f t="shared" si="1"/>
        <v>7.33115522099793</v>
      </c>
      <c r="D14">
        <f t="shared" si="2"/>
        <v>0.37805605752077376</v>
      </c>
      <c r="H14">
        <f t="shared" si="3"/>
        <v>2.6598750168422667</v>
      </c>
      <c r="I14">
        <f t="shared" si="4"/>
        <v>12.958446391674938</v>
      </c>
      <c r="J14">
        <f t="shared" si="5"/>
        <v>0.20526187603408111</v>
      </c>
      <c r="K14">
        <f t="shared" si="6"/>
        <v>20.526187603408108</v>
      </c>
    </row>
    <row r="15" spans="1:11" x14ac:dyDescent="0.2">
      <c r="A15">
        <v>12</v>
      </c>
      <c r="B15">
        <f t="shared" si="0"/>
        <v>23.58524954908362</v>
      </c>
      <c r="C15">
        <f t="shared" si="1"/>
        <v>9.1364498323033629</v>
      </c>
      <c r="D15">
        <f t="shared" si="2"/>
        <v>0.38737982455048264</v>
      </c>
      <c r="H15">
        <f t="shared" si="3"/>
        <v>3.1462494514916228</v>
      </c>
      <c r="I15">
        <f t="shared" si="4"/>
        <v>15.155572485243546</v>
      </c>
      <c r="J15">
        <f t="shared" si="5"/>
        <v>0.2075968726720826</v>
      </c>
      <c r="K15">
        <f t="shared" si="6"/>
        <v>20.759687267208257</v>
      </c>
    </row>
    <row r="16" spans="1:11" x14ac:dyDescent="0.2">
      <c r="A16">
        <v>13</v>
      </c>
      <c r="B16">
        <f t="shared" si="0"/>
        <v>28.239383729708283</v>
      </c>
      <c r="C16">
        <f t="shared" si="1"/>
        <v>11.187308201474856</v>
      </c>
      <c r="D16">
        <f t="shared" si="2"/>
        <v>0.39615978551634007</v>
      </c>
      <c r="H16">
        <f t="shared" si="3"/>
        <v>3.671842276967241</v>
      </c>
      <c r="I16">
        <f t="shared" si="4"/>
        <v>17.504275387466777</v>
      </c>
      <c r="J16">
        <f t="shared" si="5"/>
        <v>0.20976831063777218</v>
      </c>
      <c r="K16">
        <f t="shared" si="6"/>
        <v>20.976831063777219</v>
      </c>
    </row>
    <row r="17" spans="1:11" x14ac:dyDescent="0.2">
      <c r="A17">
        <v>14</v>
      </c>
      <c r="B17">
        <f t="shared" si="0"/>
        <v>33.363434576776747</v>
      </c>
      <c r="C17">
        <f t="shared" si="1"/>
        <v>13.494377389214943</v>
      </c>
      <c r="D17">
        <f t="shared" si="2"/>
        <v>0.40446607372395532</v>
      </c>
      <c r="H17">
        <f t="shared" si="3"/>
        <v>4.2364341167537445</v>
      </c>
      <c r="I17">
        <f t="shared" si="4"/>
        <v>20.002144820380455</v>
      </c>
      <c r="J17">
        <f t="shared" si="5"/>
        <v>0.2117989922979252</v>
      </c>
      <c r="K17">
        <f t="shared" si="6"/>
        <v>21.179899229792518</v>
      </c>
    </row>
    <row r="18" spans="1:11" x14ac:dyDescent="0.2">
      <c r="A18">
        <v>15</v>
      </c>
      <c r="B18">
        <f t="shared" si="0"/>
        <v>38.966195491055529</v>
      </c>
      <c r="C18">
        <f t="shared" si="1"/>
        <v>16.067925402324178</v>
      </c>
      <c r="D18">
        <f t="shared" si="2"/>
        <v>0.41235550968819834</v>
      </c>
      <c r="H18">
        <f t="shared" si="3"/>
        <v>4.8398229871972722</v>
      </c>
      <c r="I18">
        <f t="shared" si="4"/>
        <v>22.646983800018393</v>
      </c>
      <c r="J18">
        <f t="shared" si="5"/>
        <v>0.21370717751797666</v>
      </c>
      <c r="K18">
        <f t="shared" si="6"/>
        <v>21.370717751797667</v>
      </c>
    </row>
    <row r="19" spans="1:11" x14ac:dyDescent="0.2">
      <c r="A19">
        <v>16</v>
      </c>
      <c r="B19">
        <f t="shared" si="0"/>
        <v>45.05599999999999</v>
      </c>
      <c r="C19">
        <f t="shared" si="1"/>
        <v>18.917880486853615</v>
      </c>
      <c r="D19">
        <f t="shared" si="2"/>
        <v>0.41987483324870428</v>
      </c>
      <c r="H19">
        <f t="shared" si="3"/>
        <v>5.4818218109329635</v>
      </c>
      <c r="I19">
        <f t="shared" si="4"/>
        <v>25.436776373054332</v>
      </c>
      <c r="J19">
        <f t="shared" si="5"/>
        <v>0.21550772513532662</v>
      </c>
      <c r="K19">
        <f t="shared" si="6"/>
        <v>21.550772513532664</v>
      </c>
    </row>
    <row r="20" spans="1:11" x14ac:dyDescent="0.2">
      <c r="A20">
        <v>17</v>
      </c>
      <c r="B20">
        <f t="shared" si="0"/>
        <v>51.640774277586637</v>
      </c>
      <c r="C20">
        <f t="shared" si="1"/>
        <v>22.053864019862015</v>
      </c>
      <c r="D20">
        <f t="shared" si="2"/>
        <v>0.42706300066910369</v>
      </c>
      <c r="H20">
        <f t="shared" si="3"/>
        <v>6.1622564239841564</v>
      </c>
      <c r="I20">
        <f t="shared" si="4"/>
        <v>28.369662001722006</v>
      </c>
      <c r="J20">
        <f t="shared" si="5"/>
        <v>0.21721289536724528</v>
      </c>
      <c r="K20">
        <f t="shared" si="6"/>
        <v>21.72128953672453</v>
      </c>
    </row>
    <row r="21" spans="1:11" x14ac:dyDescent="0.2">
      <c r="A21">
        <v>18</v>
      </c>
      <c r="B21">
        <f t="shared" si="0"/>
        <v>58.728080807079728</v>
      </c>
      <c r="C21">
        <f t="shared" si="1"/>
        <v>25.485218375768138</v>
      </c>
      <c r="D21">
        <f t="shared" si="2"/>
        <v>0.43395285569583725</v>
      </c>
      <c r="H21">
        <f t="shared" si="3"/>
        <v>6.8809639543791352</v>
      </c>
      <c r="I21">
        <f t="shared" si="4"/>
        <v>31.443914906275189</v>
      </c>
      <c r="J21">
        <f t="shared" si="5"/>
        <v>0.21883292760743087</v>
      </c>
      <c r="K21">
        <f t="shared" si="6"/>
        <v>21.883292760743089</v>
      </c>
    </row>
    <row r="22" spans="1:11" x14ac:dyDescent="0.2">
      <c r="A22">
        <v>19</v>
      </c>
      <c r="B22">
        <f t="shared" si="0"/>
        <v>66.32515510761128</v>
      </c>
      <c r="C22">
        <f t="shared" si="1"/>
        <v>29.221030784146212</v>
      </c>
      <c r="D22">
        <f t="shared" si="2"/>
        <v>0.44057237011712458</v>
      </c>
      <c r="H22">
        <f t="shared" si="3"/>
        <v>7.6377914856543683</v>
      </c>
      <c r="I22">
        <f t="shared" si="4"/>
        <v>34.657927176589205</v>
      </c>
      <c r="J22">
        <f t="shared" si="5"/>
        <v>0.22037646529575367</v>
      </c>
      <c r="K22">
        <f t="shared" si="6"/>
        <v>22.037646529575365</v>
      </c>
    </row>
    <row r="23" spans="1:11" x14ac:dyDescent="0.2">
      <c r="A23">
        <v>20</v>
      </c>
      <c r="B23">
        <f t="shared" si="0"/>
        <v>74.438936946215676</v>
      </c>
      <c r="C23">
        <f t="shared" si="1"/>
        <v>33.270153945147264</v>
      </c>
      <c r="D23">
        <f t="shared" si="2"/>
        <v>0.44694558130492823</v>
      </c>
      <c r="H23">
        <f t="shared" si="3"/>
        <v>8.4325949424304198</v>
      </c>
      <c r="I23">
        <f t="shared" si="4"/>
        <v>38.010194798391666</v>
      </c>
      <c r="J23">
        <f t="shared" si="5"/>
        <v>0.22185087414461843</v>
      </c>
      <c r="K23">
        <f t="shared" si="6"/>
        <v>22.185087414461844</v>
      </c>
    </row>
    <row r="24" spans="1:11" x14ac:dyDescent="0.2">
      <c r="A24">
        <v>21</v>
      </c>
      <c r="B24">
        <f t="shared" si="0"/>
        <v>83.076097106752613</v>
      </c>
      <c r="C24">
        <f t="shared" si="1"/>
        <v>37.641223989785715</v>
      </c>
      <c r="D24">
        <f t="shared" si="2"/>
        <v>0.4530933120439784</v>
      </c>
      <c r="H24">
        <f t="shared" si="3"/>
        <v>9.2652381516234552</v>
      </c>
      <c r="I24">
        <f t="shared" si="4"/>
        <v>41.499305967321213</v>
      </c>
      <c r="J24">
        <f t="shared" si="5"/>
        <v>0.22326248441165264</v>
      </c>
      <c r="K24">
        <f t="shared" si="6"/>
        <v>22.326248441165259</v>
      </c>
    </row>
    <row r="25" spans="1:11" x14ac:dyDescent="0.2">
      <c r="A25">
        <v>22</v>
      </c>
      <c r="B25">
        <f t="shared" si="0"/>
        <v>92.243060536291239</v>
      </c>
      <c r="C25">
        <f t="shared" si="1"/>
        <v>42.342676242024361</v>
      </c>
      <c r="D25">
        <f t="shared" si="2"/>
        <v>0.4590337310562832</v>
      </c>
      <c r="H25">
        <f t="shared" si="3"/>
        <v>10.135592044366804</v>
      </c>
      <c r="I25">
        <f t="shared" si="4"/>
        <v>45.123931222860989</v>
      </c>
      <c r="J25">
        <f t="shared" si="5"/>
        <v>0.22461677805305763</v>
      </c>
      <c r="K25">
        <f t="shared" si="6"/>
        <v>22.461677805305762</v>
      </c>
    </row>
    <row r="26" spans="1:11" x14ac:dyDescent="0.2">
      <c r="A26">
        <v>23</v>
      </c>
      <c r="B26">
        <f t="shared" si="0"/>
        <v>101.94602650647109</v>
      </c>
      <c r="C26">
        <f t="shared" ref="C26:C33" si="7">0.017*POWER(A26,2.53)</f>
        <v>47.382759143016948</v>
      </c>
      <c r="D26">
        <f t="shared" si="2"/>
        <v>0.4647827950411515</v>
      </c>
      <c r="H26">
        <f t="shared" si="3"/>
        <v>11.043533971969962</v>
      </c>
      <c r="I26">
        <f t="shared" si="4"/>
        <v>48.882815047252393</v>
      </c>
      <c r="J26">
        <f t="shared" si="5"/>
        <v>0.22591853520086294</v>
      </c>
      <c r="K26">
        <f t="shared" si="6"/>
        <v>22.591853520086293</v>
      </c>
    </row>
    <row r="27" spans="1:11" x14ac:dyDescent="0.2">
      <c r="A27">
        <v>24</v>
      </c>
      <c r="B27">
        <f t="shared" si="0"/>
        <v>112.19098629153982</v>
      </c>
      <c r="C27">
        <f t="shared" si="7"/>
        <v>52.769546625157773</v>
      </c>
      <c r="D27">
        <f t="shared" si="2"/>
        <v>0.47035460128704709</v>
      </c>
      <c r="H27">
        <f t="shared" si="3"/>
        <v>11.988947115263263</v>
      </c>
      <c r="I27">
        <f t="shared" si="4"/>
        <v>52.774768656416043</v>
      </c>
      <c r="J27">
        <f t="shared" si="5"/>
        <v>0.22717195016648772</v>
      </c>
      <c r="K27">
        <f t="shared" si="6"/>
        <v>22.717195016648773</v>
      </c>
    </row>
    <row r="28" spans="1:11" x14ac:dyDescent="0.2">
      <c r="A28">
        <v>25</v>
      </c>
      <c r="B28">
        <f t="shared" si="0"/>
        <v>122.98373876248833</v>
      </c>
      <c r="C28">
        <f t="shared" si="7"/>
        <v>58.510949168063853</v>
      </c>
      <c r="D28">
        <f t="shared" si="2"/>
        <v>0.47576167188300239</v>
      </c>
      <c r="H28">
        <f t="shared" si="3"/>
        <v>12.971719971138747</v>
      </c>
      <c r="I28">
        <f t="shared" si="4"/>
        <v>56.798663770231464</v>
      </c>
      <c r="J28">
        <f t="shared" si="5"/>
        <v>0.22838072430037176</v>
      </c>
      <c r="K28">
        <f t="shared" si="6"/>
        <v>22.838072430037176</v>
      </c>
    </row>
    <row r="29" spans="1:11" x14ac:dyDescent="0.2">
      <c r="A29">
        <v>26</v>
      </c>
      <c r="B29">
        <f t="shared" si="0"/>
        <v>134.32990421864474</v>
      </c>
      <c r="C29">
        <f t="shared" si="7"/>
        <v>64.614723725671311</v>
      </c>
      <c r="D29">
        <f t="shared" si="2"/>
        <v>0.48101518497697932</v>
      </c>
      <c r="H29">
        <f t="shared" si="3"/>
        <v>13.99174590345266</v>
      </c>
      <c r="I29">
        <f t="shared" si="4"/>
        <v>60.953427194598746</v>
      </c>
      <c r="J29">
        <f t="shared" si="5"/>
        <v>0.22954814105502025</v>
      </c>
      <c r="K29">
        <f t="shared" si="6"/>
        <v>22.954814105502024</v>
      </c>
    </row>
    <row r="30" spans="1:11" x14ac:dyDescent="0.2">
      <c r="A30">
        <v>27</v>
      </c>
      <c r="B30">
        <f t="shared" si="0"/>
        <v>146.23493671776291</v>
      </c>
      <c r="C30">
        <f t="shared" si="7"/>
        <v>71.088482680022324</v>
      </c>
      <c r="D30">
        <f t="shared" si="2"/>
        <v>0.4861251645851557</v>
      </c>
      <c r="H30">
        <f t="shared" si="3"/>
        <v>15.048922748009598</v>
      </c>
      <c r="I30">
        <f t="shared" si="4"/>
        <v>65.238036081827801</v>
      </c>
      <c r="J30">
        <f t="shared" si="5"/>
        <v>0.23067712720741312</v>
      </c>
      <c r="K30">
        <f t="shared" si="6"/>
        <v>23.067712720741309</v>
      </c>
    </row>
    <row r="31" spans="1:11" x14ac:dyDescent="0.2">
      <c r="A31">
        <v>28</v>
      </c>
      <c r="B31">
        <f t="shared" si="0"/>
        <v>158.7041351185228</v>
      </c>
      <c r="C31">
        <f t="shared" si="7"/>
        <v>77.939701950744379</v>
      </c>
      <c r="D31">
        <f t="shared" si="2"/>
        <v>0.49110063762697648</v>
      </c>
      <c r="H31">
        <f t="shared" si="3"/>
        <v>16.143152463317296</v>
      </c>
      <c r="I31">
        <f t="shared" si="4"/>
        <v>69.651513762051437</v>
      </c>
      <c r="J31">
        <f t="shared" si="5"/>
        <v>0.23177030320499145</v>
      </c>
      <c r="K31">
        <f t="shared" si="6"/>
        <v>23.177030320499142</v>
      </c>
    </row>
    <row r="32" spans="1:11" x14ac:dyDescent="0.2">
      <c r="A32">
        <v>29</v>
      </c>
      <c r="B32">
        <f t="shared" si="0"/>
        <v>171.74265301214709</v>
      </c>
      <c r="C32">
        <f t="shared" si="7"/>
        <v>85.175728367998389</v>
      </c>
      <c r="D32">
        <f t="shared" si="2"/>
        <v>0.49594976480288822</v>
      </c>
      <c r="H32">
        <f t="shared" si="3"/>
        <v>17.274340820334785</v>
      </c>
      <c r="I32">
        <f t="shared" si="4"/>
        <v>74.192926058615257</v>
      </c>
      <c r="J32">
        <f t="shared" si="5"/>
        <v>0.23283002488252577</v>
      </c>
      <c r="K32">
        <f t="shared" si="6"/>
        <v>23.283002488252578</v>
      </c>
    </row>
    <row r="33" spans="1:12" x14ac:dyDescent="0.2">
      <c r="A33">
        <v>30</v>
      </c>
      <c r="B33">
        <f t="shared" si="0"/>
        <v>185.35550769020068</v>
      </c>
      <c r="C33">
        <f t="shared" si="7"/>
        <v>92.803786399573639</v>
      </c>
      <c r="D33">
        <f t="shared" si="2"/>
        <v>0.50067995041552227</v>
      </c>
      <c r="H33">
        <f t="shared" si="3"/>
        <v>18.442397125642557</v>
      </c>
      <c r="I33">
        <f t="shared" si="4"/>
        <v>78.861378016256836</v>
      </c>
      <c r="J33">
        <f t="shared" si="5"/>
        <v>0.23385841827213263</v>
      </c>
      <c r="K33">
        <f t="shared" si="6"/>
        <v>23.385841827213266</v>
      </c>
    </row>
    <row r="34" spans="1:12" x14ac:dyDescent="0.2">
      <c r="D34" s="10">
        <f>AVERAGE(D4:D33)</f>
        <v>0.39755513283387506</v>
      </c>
      <c r="E34">
        <v>0.4</v>
      </c>
      <c r="F34" t="s">
        <v>247</v>
      </c>
      <c r="J34" s="9">
        <f>AVERAGE(J4:J33)</f>
        <v>0.20887326850655302</v>
      </c>
      <c r="K34" s="9">
        <f>AVERAGE(K4:K33)</f>
        <v>20.887326850655295</v>
      </c>
    </row>
    <row r="35" spans="1:12" x14ac:dyDescent="0.2">
      <c r="K35">
        <f>1/K34*1000000/10000</f>
        <v>4.7875920511514716</v>
      </c>
      <c r="L35" s="9" t="s">
        <v>261</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5"/>
  <sheetViews>
    <sheetView zoomScale="75" workbookViewId="0">
      <selection activeCell="A3" sqref="A3"/>
    </sheetView>
  </sheetViews>
  <sheetFormatPr baseColWidth="10" defaultRowHeight="12.75" x14ac:dyDescent="0.2"/>
  <sheetData>
    <row r="1" spans="1:8" x14ac:dyDescent="0.2">
      <c r="A1" t="s">
        <v>176</v>
      </c>
    </row>
    <row r="3" spans="1:8" x14ac:dyDescent="0.2">
      <c r="A3" s="10" t="s">
        <v>239</v>
      </c>
    </row>
    <row r="5" spans="1:8" s="9" customFormat="1" x14ac:dyDescent="0.2">
      <c r="A5" s="9" t="s">
        <v>177</v>
      </c>
      <c r="B5" s="9" t="s">
        <v>178</v>
      </c>
      <c r="D5" s="9" t="s">
        <v>185</v>
      </c>
      <c r="G5" s="9" t="s">
        <v>187</v>
      </c>
      <c r="H5" s="9" t="s">
        <v>190</v>
      </c>
    </row>
    <row r="6" spans="1:8" s="9" customFormat="1" x14ac:dyDescent="0.2">
      <c r="B6" s="9" t="s">
        <v>179</v>
      </c>
      <c r="C6" s="9" t="s">
        <v>238</v>
      </c>
      <c r="D6" s="9" t="s">
        <v>180</v>
      </c>
      <c r="E6" s="9" t="s">
        <v>237</v>
      </c>
      <c r="F6" s="9" t="s">
        <v>82</v>
      </c>
    </row>
    <row r="7" spans="1:8" x14ac:dyDescent="0.2">
      <c r="A7" t="s">
        <v>181</v>
      </c>
      <c r="B7">
        <v>96.6</v>
      </c>
      <c r="C7">
        <f>B7/1000</f>
        <v>9.6599999999999991E-2</v>
      </c>
      <c r="D7">
        <v>68.400000000000006</v>
      </c>
      <c r="E7">
        <f>D7/1000</f>
        <v>6.8400000000000002E-2</v>
      </c>
      <c r="F7">
        <v>86.9</v>
      </c>
      <c r="G7">
        <f t="shared" ref="G7:G12" si="0">0.3927*POWER(E7,0.6786)</f>
        <v>6.3610670285565746E-2</v>
      </c>
      <c r="H7">
        <f t="shared" ref="H7:H12" si="1">0.5044*POWER(E7,0.6486)</f>
        <v>8.8550795179750563E-2</v>
      </c>
    </row>
    <row r="8" spans="1:8" x14ac:dyDescent="0.2">
      <c r="A8" t="s">
        <v>182</v>
      </c>
      <c r="B8">
        <v>70.7</v>
      </c>
      <c r="C8">
        <f t="shared" ref="C8:E12" si="2">B8/1000</f>
        <v>7.0699999999999999E-2</v>
      </c>
      <c r="D8">
        <v>37.6</v>
      </c>
      <c r="E8">
        <f t="shared" si="2"/>
        <v>3.7600000000000001E-2</v>
      </c>
      <c r="F8">
        <v>63</v>
      </c>
      <c r="G8">
        <f t="shared" si="0"/>
        <v>4.2382187925041455E-2</v>
      </c>
      <c r="H8">
        <f t="shared" si="1"/>
        <v>6.0067826007983813E-2</v>
      </c>
    </row>
    <row r="9" spans="1:8" x14ac:dyDescent="0.2">
      <c r="A9" t="s">
        <v>183</v>
      </c>
      <c r="B9">
        <v>61.9</v>
      </c>
      <c r="C9">
        <f t="shared" si="2"/>
        <v>6.1899999999999997E-2</v>
      </c>
      <c r="D9">
        <v>48.6</v>
      </c>
      <c r="E9">
        <f t="shared" si="2"/>
        <v>4.8600000000000004E-2</v>
      </c>
      <c r="F9">
        <v>50.3</v>
      </c>
      <c r="G9">
        <f t="shared" si="0"/>
        <v>5.0444320181502106E-2</v>
      </c>
      <c r="H9">
        <f t="shared" si="1"/>
        <v>7.0945909756951225E-2</v>
      </c>
    </row>
    <row r="10" spans="1:8" x14ac:dyDescent="0.2">
      <c r="A10" t="s">
        <v>184</v>
      </c>
      <c r="B10">
        <v>59.1</v>
      </c>
      <c r="C10">
        <f t="shared" si="2"/>
        <v>5.91E-2</v>
      </c>
      <c r="D10">
        <v>43.7</v>
      </c>
      <c r="E10">
        <f t="shared" si="2"/>
        <v>4.3700000000000003E-2</v>
      </c>
      <c r="F10">
        <v>59.2</v>
      </c>
      <c r="G10">
        <f t="shared" si="0"/>
        <v>4.6934436105826212E-2</v>
      </c>
      <c r="H10">
        <f t="shared" si="1"/>
        <v>6.6220329580866696E-2</v>
      </c>
    </row>
    <row r="11" spans="1:8" x14ac:dyDescent="0.2">
      <c r="A11" t="s">
        <v>186</v>
      </c>
      <c r="B11">
        <v>3.23</v>
      </c>
      <c r="C11">
        <f t="shared" si="2"/>
        <v>3.2299999999999998E-3</v>
      </c>
      <c r="D11">
        <v>3.86</v>
      </c>
      <c r="E11">
        <f t="shared" si="2"/>
        <v>3.8599999999999997E-3</v>
      </c>
      <c r="G11">
        <f t="shared" si="0"/>
        <v>9.0431356660538396E-3</v>
      </c>
      <c r="H11">
        <f t="shared" si="1"/>
        <v>1.3722574704176755E-2</v>
      </c>
    </row>
    <row r="12" spans="1:8" x14ac:dyDescent="0.2">
      <c r="B12">
        <v>8.64</v>
      </c>
      <c r="C12">
        <f t="shared" si="2"/>
        <v>8.6400000000000001E-3</v>
      </c>
      <c r="D12">
        <v>9.26</v>
      </c>
      <c r="E12">
        <f t="shared" si="2"/>
        <v>9.2599999999999991E-3</v>
      </c>
      <c r="G12">
        <f t="shared" si="0"/>
        <v>1.6375822293968403E-2</v>
      </c>
      <c r="H12">
        <f t="shared" si="1"/>
        <v>2.4205773427724515E-2</v>
      </c>
    </row>
    <row r="13" spans="1:8" x14ac:dyDescent="0.2">
      <c r="C13">
        <v>7.5319898880000014E-2</v>
      </c>
      <c r="E13">
        <v>2.0408849280000019E-2</v>
      </c>
    </row>
    <row r="14" spans="1:8" x14ac:dyDescent="0.2">
      <c r="C14">
        <v>9.3060000000000004E-2</v>
      </c>
      <c r="E14">
        <v>2.8750000000000001E-2</v>
      </c>
    </row>
    <row r="15" spans="1:8" x14ac:dyDescent="0.2">
      <c r="C15">
        <v>0.15042378197999998</v>
      </c>
      <c r="E15">
        <v>6.2788262879999987E-2</v>
      </c>
    </row>
    <row r="16" spans="1:8" x14ac:dyDescent="0.2">
      <c r="C16">
        <v>0.16090069511999999</v>
      </c>
      <c r="E16">
        <v>6.9766134719999998E-2</v>
      </c>
    </row>
    <row r="17" spans="3:5" x14ac:dyDescent="0.2">
      <c r="C17">
        <v>0.20458317671999998</v>
      </c>
      <c r="E17">
        <v>0.10051798431999998</v>
      </c>
    </row>
    <row r="18" spans="3:5" x14ac:dyDescent="0.2">
      <c r="C18">
        <v>3.6465914879999999E-2</v>
      </c>
      <c r="E18">
        <v>1.0568865279999997E-2</v>
      </c>
    </row>
    <row r="19" spans="3:5" x14ac:dyDescent="0.2">
      <c r="C19">
        <v>5.1514193279999995E-2</v>
      </c>
      <c r="E19">
        <v>1.2318295680000006E-2</v>
      </c>
    </row>
    <row r="20" spans="3:5" x14ac:dyDescent="0.2">
      <c r="C20">
        <v>7.2171377819999993E-2</v>
      </c>
      <c r="E20">
        <v>1.9097885920000002E-2</v>
      </c>
    </row>
    <row r="21" spans="3:5" x14ac:dyDescent="0.2">
      <c r="C21">
        <v>6.9387313680000021E-2</v>
      </c>
      <c r="E21">
        <v>1.7989718080000008E-2</v>
      </c>
    </row>
    <row r="22" spans="3:5" x14ac:dyDescent="0.2">
      <c r="C22">
        <v>9.7932682619999989E-2</v>
      </c>
      <c r="E22">
        <v>3.1277434720000018E-2</v>
      </c>
    </row>
    <row r="50" spans="14:14" x14ac:dyDescent="0.2">
      <c r="N50" t="s">
        <v>188</v>
      </c>
    </row>
    <row r="51" spans="14:14" x14ac:dyDescent="0.2">
      <c r="N51" t="s">
        <v>189</v>
      </c>
    </row>
    <row r="74" spans="3:4" x14ac:dyDescent="0.2">
      <c r="C74" s="15" t="s">
        <v>236</v>
      </c>
      <c r="D74" s="15"/>
    </row>
    <row r="75" spans="3:4" x14ac:dyDescent="0.2">
      <c r="C75" s="15" t="s">
        <v>235</v>
      </c>
      <c r="D75" s="15">
        <v>1.4335</v>
      </c>
    </row>
  </sheetData>
  <phoneticPr fontId="2" type="noConversion"/>
  <pageMargins left="0.78740157499999996" right="0.78740157499999996" top="0.984251969" bottom="0.984251969" header="0.4921259845" footer="0.4921259845"/>
  <headerFooter alignWithMargins="0"/>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J19" sqref="J19"/>
    </sheetView>
  </sheetViews>
  <sheetFormatPr baseColWidth="10" defaultRowHeight="12.75" x14ac:dyDescent="0.2"/>
  <sheetData>
    <row r="1" spans="1:10" x14ac:dyDescent="0.2">
      <c r="A1" t="s">
        <v>149</v>
      </c>
    </row>
    <row r="3" spans="1:10" x14ac:dyDescent="0.2">
      <c r="A3" t="s">
        <v>153</v>
      </c>
    </row>
    <row r="6" spans="1:10" x14ac:dyDescent="0.2">
      <c r="A6" t="s">
        <v>152</v>
      </c>
    </row>
    <row r="8" spans="1:10" x14ac:dyDescent="0.2">
      <c r="A8" t="s">
        <v>154</v>
      </c>
      <c r="B8" t="s">
        <v>55</v>
      </c>
      <c r="C8" t="s">
        <v>155</v>
      </c>
      <c r="D8" t="s">
        <v>156</v>
      </c>
      <c r="E8" t="s">
        <v>157</v>
      </c>
      <c r="F8" t="s">
        <v>158</v>
      </c>
      <c r="G8" t="s">
        <v>159</v>
      </c>
      <c r="I8" t="s">
        <v>168</v>
      </c>
      <c r="J8" t="s">
        <v>166</v>
      </c>
    </row>
    <row r="9" spans="1:10" x14ac:dyDescent="0.2">
      <c r="A9">
        <v>1</v>
      </c>
      <c r="B9">
        <v>12.3</v>
      </c>
      <c r="C9">
        <v>2.0699999999999998</v>
      </c>
      <c r="D9">
        <v>0.76</v>
      </c>
      <c r="E9">
        <v>0.41</v>
      </c>
      <c r="F9">
        <v>1.85</v>
      </c>
      <c r="G9">
        <v>3</v>
      </c>
      <c r="I9">
        <f>D9*1000</f>
        <v>760</v>
      </c>
      <c r="J9">
        <f t="shared" ref="J9:J14" si="0">149.34*I9^0.3426</f>
        <v>1449.2485806481002</v>
      </c>
    </row>
    <row r="10" spans="1:10" x14ac:dyDescent="0.2">
      <c r="A10">
        <v>2</v>
      </c>
      <c r="B10">
        <v>13.5</v>
      </c>
      <c r="C10">
        <v>2.2200000000000002</v>
      </c>
      <c r="D10">
        <v>0.8</v>
      </c>
      <c r="E10">
        <v>0.43</v>
      </c>
      <c r="F10">
        <v>1.87</v>
      </c>
      <c r="G10">
        <v>0</v>
      </c>
      <c r="I10">
        <f t="shared" ref="I10:I17" si="1">D10*1000</f>
        <v>800</v>
      </c>
      <c r="J10">
        <f t="shared" si="0"/>
        <v>1474.9414358933441</v>
      </c>
    </row>
    <row r="11" spans="1:10" x14ac:dyDescent="0.2">
      <c r="A11">
        <v>3</v>
      </c>
      <c r="B11">
        <v>13.1</v>
      </c>
      <c r="C11">
        <v>2.21</v>
      </c>
      <c r="D11">
        <v>0.94</v>
      </c>
      <c r="E11">
        <v>0.54</v>
      </c>
      <c r="F11">
        <v>1.75</v>
      </c>
      <c r="G11">
        <v>0</v>
      </c>
      <c r="I11">
        <f t="shared" si="1"/>
        <v>940</v>
      </c>
      <c r="J11">
        <f t="shared" si="0"/>
        <v>1558.7258923699635</v>
      </c>
    </row>
    <row r="12" spans="1:10" x14ac:dyDescent="0.2">
      <c r="A12">
        <v>4</v>
      </c>
      <c r="B12">
        <v>15</v>
      </c>
      <c r="C12">
        <v>2.2999999999999998</v>
      </c>
      <c r="D12">
        <v>0.93</v>
      </c>
      <c r="E12">
        <v>0.61</v>
      </c>
      <c r="F12">
        <v>1.54</v>
      </c>
      <c r="G12">
        <v>0</v>
      </c>
      <c r="I12">
        <f t="shared" si="1"/>
        <v>930</v>
      </c>
      <c r="J12">
        <f t="shared" si="0"/>
        <v>1553.0248507968936</v>
      </c>
    </row>
    <row r="13" spans="1:10" x14ac:dyDescent="0.2">
      <c r="A13" t="s">
        <v>173</v>
      </c>
      <c r="B13">
        <v>19.53</v>
      </c>
      <c r="D13">
        <v>3.86</v>
      </c>
      <c r="I13">
        <f t="shared" si="1"/>
        <v>3860</v>
      </c>
      <c r="J13">
        <f t="shared" si="0"/>
        <v>2528.9541612181329</v>
      </c>
    </row>
    <row r="14" spans="1:10" x14ac:dyDescent="0.2">
      <c r="B14">
        <v>32.549999999999997</v>
      </c>
      <c r="D14">
        <v>9.26</v>
      </c>
      <c r="I14">
        <f t="shared" si="1"/>
        <v>9260</v>
      </c>
      <c r="J14">
        <f t="shared" si="0"/>
        <v>3413.0061514274234</v>
      </c>
    </row>
    <row r="15" spans="1:10" x14ac:dyDescent="0.2">
      <c r="A15" t="s">
        <v>172</v>
      </c>
      <c r="B15">
        <v>17.5</v>
      </c>
      <c r="D15">
        <v>9.5</v>
      </c>
      <c r="I15">
        <f t="shared" si="1"/>
        <v>9500</v>
      </c>
    </row>
    <row r="16" spans="1:10" x14ac:dyDescent="0.2">
      <c r="B16">
        <v>16.8</v>
      </c>
      <c r="D16">
        <v>7.1</v>
      </c>
      <c r="I16">
        <f t="shared" si="1"/>
        <v>7100</v>
      </c>
    </row>
    <row r="17" spans="1:11" x14ac:dyDescent="0.2">
      <c r="B17">
        <v>16.100000000000001</v>
      </c>
      <c r="D17">
        <v>6.8</v>
      </c>
      <c r="I17">
        <f t="shared" si="1"/>
        <v>6800</v>
      </c>
    </row>
    <row r="18" spans="1:11" x14ac:dyDescent="0.2">
      <c r="D18" s="13" t="s">
        <v>170</v>
      </c>
      <c r="E18" s="13"/>
      <c r="F18" s="13"/>
      <c r="G18" s="13" t="s">
        <v>171</v>
      </c>
      <c r="H18" s="13"/>
    </row>
    <row r="19" spans="1:11" x14ac:dyDescent="0.2">
      <c r="A19" t="s">
        <v>160</v>
      </c>
      <c r="K19" t="s">
        <v>174</v>
      </c>
    </row>
  </sheetData>
  <phoneticPr fontId="0" type="noConversion"/>
  <pageMargins left="0.78740157499999996" right="0.78740157499999996" top="0.984251969" bottom="0.984251969" header="0.4921259845" footer="0.4921259845"/>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topLeftCell="B1" workbookViewId="0">
      <pane xSplit="1" ySplit="4" topLeftCell="C5" activePane="bottomRight" state="frozen"/>
      <selection activeCell="B1" sqref="B1"/>
      <selection pane="topRight" activeCell="C1" sqref="C1"/>
      <selection pane="bottomLeft" activeCell="B2" sqref="B2"/>
      <selection pane="bottomRight" activeCell="K8" sqref="K8"/>
    </sheetView>
  </sheetViews>
  <sheetFormatPr baseColWidth="10" defaultRowHeight="12.75" x14ac:dyDescent="0.2"/>
  <cols>
    <col min="11" max="11" width="13.7109375" customWidth="1"/>
  </cols>
  <sheetData>
    <row r="1" spans="1:17" x14ac:dyDescent="0.2">
      <c r="B1" t="s">
        <v>207</v>
      </c>
    </row>
    <row r="4" spans="1:17" x14ac:dyDescent="0.2">
      <c r="A4" t="s">
        <v>191</v>
      </c>
      <c r="B4" t="s">
        <v>192</v>
      </c>
      <c r="C4" t="s">
        <v>193</v>
      </c>
      <c r="D4" t="s">
        <v>194</v>
      </c>
      <c r="E4" t="s">
        <v>195</v>
      </c>
      <c r="F4" t="s">
        <v>196</v>
      </c>
      <c r="G4" t="s">
        <v>197</v>
      </c>
      <c r="H4" t="s">
        <v>198</v>
      </c>
      <c r="K4" t="s">
        <v>199</v>
      </c>
      <c r="L4" t="s">
        <v>200</v>
      </c>
      <c r="N4" t="s">
        <v>203</v>
      </c>
      <c r="O4" t="s">
        <v>204</v>
      </c>
      <c r="P4" t="s">
        <v>205</v>
      </c>
      <c r="Q4" t="s">
        <v>206</v>
      </c>
    </row>
    <row r="5" spans="1:17" x14ac:dyDescent="0.2">
      <c r="A5" t="s">
        <v>201</v>
      </c>
      <c r="B5" s="14">
        <v>35596</v>
      </c>
      <c r="C5">
        <v>25.69</v>
      </c>
      <c r="D5">
        <v>0.53</v>
      </c>
      <c r="E5">
        <v>5.44</v>
      </c>
      <c r="F5">
        <v>0.12</v>
      </c>
      <c r="G5">
        <f t="shared" ref="G5:G20" si="0">149.23+65.71*(E5/10)+91.04*((E5/10)^2)</f>
        <v>211.91825344</v>
      </c>
      <c r="H5">
        <f t="shared" ref="H5:H20" si="1">44.07-58.22*(E5/10)+25.28*((E5/10)^2)</f>
        <v>19.879582079999999</v>
      </c>
      <c r="K5">
        <f t="shared" ref="K5:K20" si="2">78.98-90.13*(E5/10)+41.12*((E5/10)^2)</f>
        <v>42.118168320000002</v>
      </c>
      <c r="L5">
        <f t="shared" ref="L5:L20" si="3">14.16-5.31*(E5/10)+22.38*((E5/10)^2)</f>
        <v>17.89440768</v>
      </c>
      <c r="N5">
        <f t="shared" ref="N5:N20" si="4">1.58*POWER(I5,1.58)</f>
        <v>0</v>
      </c>
      <c r="O5">
        <f>1.3145*POWER(J5,0.3426)</f>
        <v>0</v>
      </c>
      <c r="P5">
        <f>2.3786*POWER(J5,0.3311)</f>
        <v>0</v>
      </c>
      <c r="Q5">
        <f>0.5044*POWER(I5,0.6486)</f>
        <v>0</v>
      </c>
    </row>
    <row r="6" spans="1:17" x14ac:dyDescent="0.2">
      <c r="A6" t="s">
        <v>201</v>
      </c>
      <c r="B6" s="14">
        <v>35810</v>
      </c>
      <c r="C6">
        <v>44.85</v>
      </c>
      <c r="D6">
        <v>0.96</v>
      </c>
      <c r="E6">
        <v>11.93</v>
      </c>
      <c r="F6">
        <v>0.33</v>
      </c>
      <c r="G6">
        <f t="shared" si="0"/>
        <v>357.19461896000001</v>
      </c>
      <c r="H6">
        <f t="shared" si="1"/>
        <v>10.593274720000004</v>
      </c>
      <c r="K6">
        <f t="shared" si="2"/>
        <v>29.978908880000006</v>
      </c>
      <c r="L6">
        <f t="shared" si="3"/>
        <v>39.677482620000006</v>
      </c>
      <c r="N6">
        <f t="shared" si="4"/>
        <v>0</v>
      </c>
      <c r="O6">
        <f t="shared" ref="O6:O20" si="5">1.3145*POWER(J6,0.3426)</f>
        <v>0</v>
      </c>
      <c r="P6">
        <f t="shared" ref="P6:P20" si="6">2.3786*POWER(J6,0.3311)</f>
        <v>0</v>
      </c>
      <c r="Q6">
        <f t="shared" ref="Q6:Q20" si="7">0.5044*POWER(I6,0.6486)</f>
        <v>0</v>
      </c>
    </row>
    <row r="7" spans="1:17" x14ac:dyDescent="0.2">
      <c r="A7" t="s">
        <v>201</v>
      </c>
      <c r="B7" s="14">
        <v>35961</v>
      </c>
      <c r="C7">
        <v>67.78</v>
      </c>
      <c r="D7">
        <v>1.56</v>
      </c>
      <c r="E7">
        <v>15.6</v>
      </c>
      <c r="F7">
        <v>0.34</v>
      </c>
      <c r="G7">
        <f t="shared" si="0"/>
        <v>473.29254400000002</v>
      </c>
      <c r="H7">
        <f t="shared" si="1"/>
        <v>14.768208000000008</v>
      </c>
      <c r="K7">
        <f t="shared" si="2"/>
        <v>38.446832000000001</v>
      </c>
      <c r="L7">
        <f t="shared" si="3"/>
        <v>60.340367999999998</v>
      </c>
      <c r="N7">
        <f t="shared" si="4"/>
        <v>0</v>
      </c>
      <c r="O7">
        <f t="shared" si="5"/>
        <v>0</v>
      </c>
      <c r="P7">
        <f t="shared" si="6"/>
        <v>0</v>
      </c>
      <c r="Q7">
        <f t="shared" si="7"/>
        <v>0</v>
      </c>
    </row>
    <row r="8" spans="1:17" x14ac:dyDescent="0.2">
      <c r="A8" t="s">
        <v>201</v>
      </c>
      <c r="B8" s="14">
        <v>36144</v>
      </c>
      <c r="C8">
        <v>71.83</v>
      </c>
      <c r="D8">
        <v>2.0699999999999998</v>
      </c>
      <c r="E8">
        <v>17.760000000000002</v>
      </c>
      <c r="F8">
        <v>0.54</v>
      </c>
      <c r="G8">
        <f t="shared" si="0"/>
        <v>553.08714304000011</v>
      </c>
      <c r="H8">
        <f t="shared" si="1"/>
        <v>20.40884928000002</v>
      </c>
      <c r="I8">
        <f t="shared" ref="I8:I20" si="8">H8/1000</f>
        <v>2.0408849280000019E-2</v>
      </c>
      <c r="J8">
        <f>H8*1000</f>
        <v>20408.84928000002</v>
      </c>
      <c r="K8">
        <f t="shared" si="2"/>
        <v>48.608837120000018</v>
      </c>
      <c r="L8">
        <f t="shared" si="3"/>
        <v>75.319898880000011</v>
      </c>
      <c r="M8">
        <f t="shared" ref="M8:M20" si="9">L8/1000</f>
        <v>7.5319898880000014E-2</v>
      </c>
      <c r="N8">
        <f>1.58*POWER(I8,1.58)</f>
        <v>3.3741963092394525E-3</v>
      </c>
      <c r="O8">
        <f t="shared" si="5"/>
        <v>39.382602757945023</v>
      </c>
      <c r="P8">
        <f t="shared" si="6"/>
        <v>63.577335959246881</v>
      </c>
      <c r="Q8">
        <f t="shared" si="7"/>
        <v>4.0413211986649641E-2</v>
      </c>
    </row>
    <row r="9" spans="1:17" x14ac:dyDescent="0.2">
      <c r="A9" t="s">
        <v>201</v>
      </c>
      <c r="B9" s="14">
        <v>36356</v>
      </c>
      <c r="C9">
        <v>83.55</v>
      </c>
      <c r="D9">
        <v>2.12</v>
      </c>
      <c r="E9">
        <v>20</v>
      </c>
      <c r="F9">
        <v>0.56000000000000005</v>
      </c>
      <c r="G9">
        <f t="shared" si="0"/>
        <v>644.80999999999995</v>
      </c>
      <c r="H9">
        <f t="shared" si="1"/>
        <v>28.75</v>
      </c>
      <c r="I9">
        <f t="shared" si="8"/>
        <v>2.8750000000000001E-2</v>
      </c>
      <c r="J9">
        <f t="shared" ref="J9:J20" si="10">H9*1000</f>
        <v>28750</v>
      </c>
      <c r="K9">
        <f t="shared" si="2"/>
        <v>63.2</v>
      </c>
      <c r="L9">
        <f t="shared" si="3"/>
        <v>93.06</v>
      </c>
      <c r="M9">
        <f t="shared" si="9"/>
        <v>9.3060000000000004E-2</v>
      </c>
      <c r="N9">
        <f t="shared" si="4"/>
        <v>5.7983561645358192E-3</v>
      </c>
      <c r="O9">
        <f t="shared" si="5"/>
        <v>44.288392518730099</v>
      </c>
      <c r="P9">
        <f t="shared" si="6"/>
        <v>71.215808047698303</v>
      </c>
      <c r="Q9">
        <f t="shared" si="7"/>
        <v>5.0471659764775835E-2</v>
      </c>
    </row>
    <row r="10" spans="1:17" x14ac:dyDescent="0.2">
      <c r="A10" t="s">
        <v>201</v>
      </c>
      <c r="B10" s="14">
        <v>36722</v>
      </c>
      <c r="C10">
        <v>95.41</v>
      </c>
      <c r="D10">
        <v>2.2999999999999998</v>
      </c>
      <c r="E10">
        <v>25.89</v>
      </c>
      <c r="F10">
        <v>0.79</v>
      </c>
      <c r="G10">
        <f t="shared" si="0"/>
        <v>929.58711784000002</v>
      </c>
      <c r="H10">
        <f t="shared" si="1"/>
        <v>62.788262879999991</v>
      </c>
      <c r="I10">
        <f t="shared" si="8"/>
        <v>6.2788262879999987E-2</v>
      </c>
      <c r="J10">
        <f t="shared" si="10"/>
        <v>62788.262879999987</v>
      </c>
      <c r="K10">
        <f t="shared" si="2"/>
        <v>121.25754152000002</v>
      </c>
      <c r="L10">
        <f t="shared" si="3"/>
        <v>150.42378197999997</v>
      </c>
      <c r="M10">
        <f t="shared" si="9"/>
        <v>0.15042378197999998</v>
      </c>
      <c r="N10">
        <f t="shared" si="4"/>
        <v>1.9920721607008692E-2</v>
      </c>
      <c r="O10">
        <f t="shared" si="5"/>
        <v>57.87803172814845</v>
      </c>
      <c r="P10">
        <f t="shared" si="6"/>
        <v>92.235684535361088</v>
      </c>
      <c r="Q10">
        <f t="shared" si="7"/>
        <v>8.3768174674001744E-2</v>
      </c>
    </row>
    <row r="11" spans="1:17" x14ac:dyDescent="0.2">
      <c r="A11" t="s">
        <v>201</v>
      </c>
      <c r="B11" s="14">
        <v>36906</v>
      </c>
      <c r="C11">
        <v>97.43</v>
      </c>
      <c r="D11">
        <v>3.07</v>
      </c>
      <c r="E11">
        <v>26.82</v>
      </c>
      <c r="F11">
        <v>0.96</v>
      </c>
      <c r="G11">
        <f t="shared" si="0"/>
        <v>980.32622895999998</v>
      </c>
      <c r="H11">
        <f t="shared" si="1"/>
        <v>69.766134719999997</v>
      </c>
      <c r="I11">
        <f t="shared" si="8"/>
        <v>6.9766134719999998E-2</v>
      </c>
      <c r="J11">
        <f t="shared" si="10"/>
        <v>69766.134720000002</v>
      </c>
      <c r="K11">
        <f t="shared" si="2"/>
        <v>133.03259888000002</v>
      </c>
      <c r="L11">
        <f t="shared" si="3"/>
        <v>160.90069511999999</v>
      </c>
      <c r="M11">
        <f t="shared" si="9"/>
        <v>0.16090069511999999</v>
      </c>
      <c r="N11">
        <f t="shared" si="4"/>
        <v>2.3529660086423692E-2</v>
      </c>
      <c r="O11">
        <f t="shared" si="5"/>
        <v>60.005802981477885</v>
      </c>
      <c r="P11">
        <f t="shared" si="6"/>
        <v>95.510729511646858</v>
      </c>
      <c r="Q11">
        <f t="shared" si="7"/>
        <v>8.9693920191277324E-2</v>
      </c>
    </row>
    <row r="12" spans="1:17" x14ac:dyDescent="0.2">
      <c r="A12" t="s">
        <v>201</v>
      </c>
      <c r="B12" s="14">
        <v>37087</v>
      </c>
      <c r="C12">
        <v>98.44</v>
      </c>
      <c r="D12">
        <v>3.27</v>
      </c>
      <c r="E12">
        <v>30.38</v>
      </c>
      <c r="F12">
        <v>1.18</v>
      </c>
      <c r="G12">
        <f t="shared" si="0"/>
        <v>1189.10556176</v>
      </c>
      <c r="H12">
        <f t="shared" si="1"/>
        <v>100.51798431999998</v>
      </c>
      <c r="I12">
        <f t="shared" si="8"/>
        <v>0.10051798431999998</v>
      </c>
      <c r="J12">
        <f t="shared" si="10"/>
        <v>100517.98431999999</v>
      </c>
      <c r="K12">
        <f t="shared" si="2"/>
        <v>184.67979728</v>
      </c>
      <c r="L12">
        <f t="shared" si="3"/>
        <v>204.58317671999998</v>
      </c>
      <c r="M12">
        <f t="shared" si="9"/>
        <v>0.20458317671999998</v>
      </c>
      <c r="N12">
        <f t="shared" si="4"/>
        <v>4.1898863730068063E-2</v>
      </c>
      <c r="O12">
        <f t="shared" si="5"/>
        <v>68.003193238624419</v>
      </c>
      <c r="P12">
        <f t="shared" si="6"/>
        <v>107.78648939044844</v>
      </c>
      <c r="Q12">
        <f t="shared" si="7"/>
        <v>0.11366595047452013</v>
      </c>
    </row>
    <row r="13" spans="1:17" x14ac:dyDescent="0.2">
      <c r="A13" t="s">
        <v>202</v>
      </c>
      <c r="B13" s="14">
        <v>35596</v>
      </c>
      <c r="C13">
        <v>23.31</v>
      </c>
      <c r="D13">
        <v>0.44</v>
      </c>
      <c r="E13">
        <v>5.17</v>
      </c>
      <c r="F13">
        <v>0.1</v>
      </c>
      <c r="G13">
        <f t="shared" si="0"/>
        <v>207.53606055999998</v>
      </c>
      <c r="H13">
        <f t="shared" si="1"/>
        <v>20.727325919999998</v>
      </c>
      <c r="K13">
        <f t="shared" si="2"/>
        <v>43.373713680000009</v>
      </c>
      <c r="L13">
        <f t="shared" si="3"/>
        <v>17.396657820000001</v>
      </c>
      <c r="N13">
        <f t="shared" si="4"/>
        <v>0</v>
      </c>
      <c r="O13">
        <f t="shared" si="5"/>
        <v>0</v>
      </c>
      <c r="P13">
        <f t="shared" si="6"/>
        <v>0</v>
      </c>
      <c r="Q13">
        <f t="shared" si="7"/>
        <v>0</v>
      </c>
    </row>
    <row r="14" spans="1:17" x14ac:dyDescent="0.2">
      <c r="A14" t="s">
        <v>202</v>
      </c>
      <c r="B14" s="14">
        <v>35810</v>
      </c>
      <c r="C14">
        <v>34.68</v>
      </c>
      <c r="D14">
        <v>0.74</v>
      </c>
      <c r="E14">
        <v>8.4700000000000006</v>
      </c>
      <c r="F14">
        <v>0.23</v>
      </c>
      <c r="G14">
        <f t="shared" si="0"/>
        <v>270.19928536000003</v>
      </c>
      <c r="H14">
        <f t="shared" si="1"/>
        <v>12.89375952</v>
      </c>
      <c r="K14">
        <f t="shared" si="2"/>
        <v>32.139748080000004</v>
      </c>
      <c r="L14">
        <f t="shared" si="3"/>
        <v>25.718043420000004</v>
      </c>
      <c r="N14">
        <f t="shared" si="4"/>
        <v>0</v>
      </c>
      <c r="O14">
        <f t="shared" si="5"/>
        <v>0</v>
      </c>
      <c r="P14">
        <f t="shared" si="6"/>
        <v>0</v>
      </c>
      <c r="Q14">
        <f t="shared" si="7"/>
        <v>0</v>
      </c>
    </row>
    <row r="15" spans="1:17" x14ac:dyDescent="0.2">
      <c r="A15" t="s">
        <v>202</v>
      </c>
      <c r="B15" s="14">
        <v>35961</v>
      </c>
      <c r="C15">
        <v>44.81</v>
      </c>
      <c r="D15">
        <v>1.22</v>
      </c>
      <c r="E15">
        <v>10.62</v>
      </c>
      <c r="F15">
        <v>0.34</v>
      </c>
      <c r="G15">
        <f t="shared" si="0"/>
        <v>321.69293775999995</v>
      </c>
      <c r="H15">
        <f t="shared" si="1"/>
        <v>10.752256320000001</v>
      </c>
      <c r="K15">
        <f t="shared" si="2"/>
        <v>29.638885280000004</v>
      </c>
      <c r="L15">
        <f t="shared" si="3"/>
        <v>33.761928719999993</v>
      </c>
      <c r="N15">
        <f t="shared" si="4"/>
        <v>0</v>
      </c>
      <c r="O15">
        <f t="shared" si="5"/>
        <v>0</v>
      </c>
      <c r="P15">
        <f t="shared" si="6"/>
        <v>0</v>
      </c>
      <c r="Q15">
        <f t="shared" si="7"/>
        <v>0</v>
      </c>
    </row>
    <row r="16" spans="1:17" x14ac:dyDescent="0.2">
      <c r="A16" t="s">
        <v>202</v>
      </c>
      <c r="B16" s="14">
        <v>36144</v>
      </c>
      <c r="C16">
        <v>46.59</v>
      </c>
      <c r="D16">
        <v>1.33</v>
      </c>
      <c r="E16">
        <v>11.24</v>
      </c>
      <c r="F16">
        <v>0.38</v>
      </c>
      <c r="G16">
        <f t="shared" si="0"/>
        <v>338.10579103999999</v>
      </c>
      <c r="H16">
        <f t="shared" si="1"/>
        <v>10.568865279999997</v>
      </c>
      <c r="I16">
        <f t="shared" si="8"/>
        <v>1.0568865279999997E-2</v>
      </c>
      <c r="J16">
        <f t="shared" si="10"/>
        <v>10568.865279999996</v>
      </c>
      <c r="K16">
        <f t="shared" si="2"/>
        <v>29.623901120000006</v>
      </c>
      <c r="L16">
        <f t="shared" si="3"/>
        <v>36.46591488</v>
      </c>
      <c r="M16">
        <f t="shared" si="9"/>
        <v>3.6465914879999999E-2</v>
      </c>
      <c r="N16">
        <f t="shared" si="4"/>
        <v>1.1929490591083725E-3</v>
      </c>
      <c r="O16">
        <f t="shared" si="5"/>
        <v>31.433497578037237</v>
      </c>
      <c r="P16">
        <f t="shared" si="6"/>
        <v>51.130166294594076</v>
      </c>
      <c r="Q16">
        <f t="shared" si="7"/>
        <v>2.6373020570686894E-2</v>
      </c>
    </row>
    <row r="17" spans="1:17" x14ac:dyDescent="0.2">
      <c r="A17" t="s">
        <v>202</v>
      </c>
      <c r="B17" s="14">
        <v>36356</v>
      </c>
      <c r="C17">
        <v>53.28</v>
      </c>
      <c r="D17">
        <v>1.46</v>
      </c>
      <c r="E17">
        <v>14.16</v>
      </c>
      <c r="F17">
        <v>0.48</v>
      </c>
      <c r="G17">
        <f t="shared" si="0"/>
        <v>424.81565823999995</v>
      </c>
      <c r="H17">
        <f t="shared" si="1"/>
        <v>12.318295680000006</v>
      </c>
      <c r="I17">
        <f t="shared" si="8"/>
        <v>1.2318295680000006E-2</v>
      </c>
      <c r="J17">
        <f t="shared" si="10"/>
        <v>12318.295680000007</v>
      </c>
      <c r="K17">
        <f t="shared" si="2"/>
        <v>33.803822719999999</v>
      </c>
      <c r="L17">
        <f t="shared" si="3"/>
        <v>51.514193279999994</v>
      </c>
      <c r="M17">
        <f t="shared" si="9"/>
        <v>5.1514193279999995E-2</v>
      </c>
      <c r="N17">
        <f t="shared" si="4"/>
        <v>1.5195922623350753E-3</v>
      </c>
      <c r="O17">
        <f t="shared" si="5"/>
        <v>33.127085938509559</v>
      </c>
      <c r="P17">
        <f t="shared" si="6"/>
        <v>53.790146398132379</v>
      </c>
      <c r="Q17">
        <f t="shared" si="7"/>
        <v>2.9127701337069638E-2</v>
      </c>
    </row>
    <row r="18" spans="1:17" x14ac:dyDescent="0.2">
      <c r="A18" t="s">
        <v>202</v>
      </c>
      <c r="B18" s="14">
        <v>36722</v>
      </c>
      <c r="C18">
        <v>61.43</v>
      </c>
      <c r="D18">
        <v>1.91</v>
      </c>
      <c r="E18">
        <v>17.329999999999998</v>
      </c>
      <c r="F18">
        <v>0.53</v>
      </c>
      <c r="G18">
        <f t="shared" si="0"/>
        <v>536.52486055999998</v>
      </c>
      <c r="H18">
        <f t="shared" si="1"/>
        <v>19.097885920000003</v>
      </c>
      <c r="I18">
        <f t="shared" si="8"/>
        <v>1.9097885920000002E-2</v>
      </c>
      <c r="J18">
        <f t="shared" si="10"/>
        <v>19097.885920000004</v>
      </c>
      <c r="K18">
        <f t="shared" si="2"/>
        <v>46.279953680000006</v>
      </c>
      <c r="L18">
        <f t="shared" si="3"/>
        <v>72.171377819999989</v>
      </c>
      <c r="M18">
        <f t="shared" si="9"/>
        <v>7.2171377819999993E-2</v>
      </c>
      <c r="N18">
        <f t="shared" si="4"/>
        <v>3.0381824639591722E-3</v>
      </c>
      <c r="O18">
        <f t="shared" si="5"/>
        <v>38.49693488081536</v>
      </c>
      <c r="P18">
        <f t="shared" si="6"/>
        <v>62.195024845963665</v>
      </c>
      <c r="Q18">
        <f t="shared" si="7"/>
        <v>3.8709908084105196E-2</v>
      </c>
    </row>
    <row r="19" spans="1:17" x14ac:dyDescent="0.2">
      <c r="A19" t="s">
        <v>202</v>
      </c>
      <c r="B19" s="14">
        <v>36906</v>
      </c>
      <c r="C19">
        <v>59.23</v>
      </c>
      <c r="D19">
        <v>1.67</v>
      </c>
      <c r="E19">
        <v>16.940000000000001</v>
      </c>
      <c r="F19">
        <v>0.51</v>
      </c>
      <c r="G19">
        <f t="shared" si="0"/>
        <v>521.79440144</v>
      </c>
      <c r="H19">
        <f t="shared" si="1"/>
        <v>17.98971808000001</v>
      </c>
      <c r="I19">
        <f t="shared" si="8"/>
        <v>1.7989718080000008E-2</v>
      </c>
      <c r="J19">
        <f t="shared" si="10"/>
        <v>17989.71808000001</v>
      </c>
      <c r="K19">
        <f t="shared" si="2"/>
        <v>44.299212320000009</v>
      </c>
      <c r="L19">
        <f t="shared" si="3"/>
        <v>69.38731368000002</v>
      </c>
      <c r="M19">
        <f t="shared" si="9"/>
        <v>6.9387313680000021E-2</v>
      </c>
      <c r="N19">
        <f t="shared" si="4"/>
        <v>2.7643661847227448E-3</v>
      </c>
      <c r="O19">
        <f t="shared" si="5"/>
        <v>37.716547839947637</v>
      </c>
      <c r="P19">
        <f t="shared" si="6"/>
        <v>60.976147125865431</v>
      </c>
      <c r="Q19">
        <f t="shared" si="7"/>
        <v>3.723778809157488E-2</v>
      </c>
    </row>
    <row r="20" spans="1:17" x14ac:dyDescent="0.2">
      <c r="A20" t="s">
        <v>202</v>
      </c>
      <c r="B20" s="14">
        <v>37087</v>
      </c>
      <c r="C20">
        <v>66.17</v>
      </c>
      <c r="D20">
        <v>1.69</v>
      </c>
      <c r="E20">
        <v>20.57</v>
      </c>
      <c r="F20">
        <v>0.61</v>
      </c>
      <c r="G20">
        <f t="shared" si="0"/>
        <v>669.60837895999998</v>
      </c>
      <c r="H20">
        <f t="shared" si="1"/>
        <v>31.277434720000016</v>
      </c>
      <c r="I20">
        <f t="shared" si="8"/>
        <v>3.1277434720000018E-2</v>
      </c>
      <c r="J20">
        <f t="shared" si="10"/>
        <v>31277.434720000016</v>
      </c>
      <c r="K20">
        <f t="shared" si="2"/>
        <v>67.571548880000009</v>
      </c>
      <c r="L20">
        <f t="shared" si="3"/>
        <v>97.932682619999994</v>
      </c>
      <c r="M20">
        <f t="shared" si="9"/>
        <v>9.7932682619999989E-2</v>
      </c>
      <c r="N20">
        <f t="shared" si="4"/>
        <v>6.6240296321252419E-3</v>
      </c>
      <c r="O20">
        <f t="shared" si="5"/>
        <v>45.58550542120885</v>
      </c>
      <c r="P20">
        <f t="shared" si="6"/>
        <v>73.230574373628784</v>
      </c>
      <c r="Q20">
        <f t="shared" si="7"/>
        <v>5.3306723135010364E-2</v>
      </c>
    </row>
  </sheetData>
  <phoneticPr fontId="0" type="noConversion"/>
  <pageMargins left="0.78740157499999996" right="0.78740157499999996" top="0.984251969" bottom="0.984251969" header="0" footer="0"/>
  <headerFooter alignWithMargins="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H12" sqref="H12"/>
    </sheetView>
  </sheetViews>
  <sheetFormatPr baseColWidth="10" defaultRowHeight="12.75" x14ac:dyDescent="0.2"/>
  <sheetData>
    <row r="1" spans="1:8" x14ac:dyDescent="0.2">
      <c r="A1" t="s">
        <v>208</v>
      </c>
    </row>
    <row r="3" spans="1:8" x14ac:dyDescent="0.2">
      <c r="A3" t="s">
        <v>209</v>
      </c>
    </row>
    <row r="6" spans="1:8" x14ac:dyDescent="0.2">
      <c r="A6" t="s">
        <v>210</v>
      </c>
    </row>
    <row r="7" spans="1:8" x14ac:dyDescent="0.2">
      <c r="B7" t="s">
        <v>211</v>
      </c>
    </row>
    <row r="8" spans="1:8" x14ac:dyDescent="0.2">
      <c r="A8" s="8" t="s">
        <v>212</v>
      </c>
      <c r="B8" t="s">
        <v>213</v>
      </c>
      <c r="C8" t="s">
        <v>214</v>
      </c>
      <c r="D8" t="s">
        <v>215</v>
      </c>
      <c r="F8" s="8" t="s">
        <v>216</v>
      </c>
      <c r="G8" t="s">
        <v>213</v>
      </c>
      <c r="H8" t="s">
        <v>214</v>
      </c>
    </row>
    <row r="9" spans="1:8" x14ac:dyDescent="0.2">
      <c r="A9" t="s">
        <v>217</v>
      </c>
      <c r="B9">
        <v>1.9</v>
      </c>
      <c r="C9">
        <v>0.43</v>
      </c>
      <c r="D9" t="s">
        <v>218</v>
      </c>
      <c r="E9">
        <f>4/3.65</f>
        <v>1.095890410958904</v>
      </c>
      <c r="F9" t="s">
        <v>217</v>
      </c>
      <c r="G9">
        <f t="shared" ref="G9:H11" si="0">B9*$E$9</f>
        <v>2.0821917808219177</v>
      </c>
      <c r="H9">
        <f t="shared" si="0"/>
        <v>0.47123287671232872</v>
      </c>
    </row>
    <row r="10" spans="1:8" x14ac:dyDescent="0.2">
      <c r="A10" t="s">
        <v>219</v>
      </c>
      <c r="B10">
        <v>0.62</v>
      </c>
      <c r="C10">
        <v>0.12</v>
      </c>
      <c r="F10" t="s">
        <v>219</v>
      </c>
      <c r="G10">
        <f t="shared" si="0"/>
        <v>0.67945205479452053</v>
      </c>
      <c r="H10">
        <f t="shared" si="0"/>
        <v>0.13150684931506848</v>
      </c>
    </row>
    <row r="11" spans="1:8" x14ac:dyDescent="0.2">
      <c r="A11" t="s">
        <v>220</v>
      </c>
      <c r="B11">
        <v>1</v>
      </c>
      <c r="C11">
        <v>0.2</v>
      </c>
      <c r="F11" t="s">
        <v>220</v>
      </c>
      <c r="G11">
        <f t="shared" si="0"/>
        <v>1.095890410958904</v>
      </c>
      <c r="H11">
        <f t="shared" si="0"/>
        <v>0.21917808219178081</v>
      </c>
    </row>
    <row r="12" spans="1:8" x14ac:dyDescent="0.2">
      <c r="A12" t="s">
        <v>221</v>
      </c>
      <c r="B12">
        <v>0.4</v>
      </c>
      <c r="C12">
        <v>0.38</v>
      </c>
      <c r="F12" t="s">
        <v>221</v>
      </c>
      <c r="G12">
        <f>B12/0.9</f>
        <v>0.44444444444444448</v>
      </c>
      <c r="H12">
        <f>C12/0.9</f>
        <v>0.42222222222222222</v>
      </c>
    </row>
  </sheetData>
  <phoneticPr fontId="0" type="noConversion"/>
  <pageMargins left="0.78740157499999996" right="0.78740157499999996" top="0.984251969" bottom="0.984251969" header="0.4921259845" footer="0.492125984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D18" sqref="D18"/>
    </sheetView>
  </sheetViews>
  <sheetFormatPr baseColWidth="10" defaultRowHeight="12.75" x14ac:dyDescent="0.2"/>
  <sheetData>
    <row r="1" spans="1:6" x14ac:dyDescent="0.2">
      <c r="A1" t="s">
        <v>222</v>
      </c>
    </row>
    <row r="3" spans="1:6" x14ac:dyDescent="0.2">
      <c r="A3" t="s">
        <v>223</v>
      </c>
    </row>
    <row r="5" spans="1:6" x14ac:dyDescent="0.2">
      <c r="A5" t="s">
        <v>224</v>
      </c>
    </row>
    <row r="6" spans="1:6" x14ac:dyDescent="0.2">
      <c r="A6" t="s">
        <v>225</v>
      </c>
    </row>
    <row r="8" spans="1:6" x14ac:dyDescent="0.2">
      <c r="A8" t="s">
        <v>226</v>
      </c>
    </row>
    <row r="11" spans="1:6" x14ac:dyDescent="0.2">
      <c r="A11" t="s">
        <v>227</v>
      </c>
      <c r="B11">
        <v>0</v>
      </c>
      <c r="C11">
        <v>30</v>
      </c>
      <c r="D11">
        <v>60</v>
      </c>
      <c r="E11">
        <v>125</v>
      </c>
      <c r="F11">
        <v>250</v>
      </c>
    </row>
    <row r="12" spans="1:6" x14ac:dyDescent="0.2">
      <c r="A12" t="s">
        <v>228</v>
      </c>
      <c r="B12">
        <v>1.1200000000000001</v>
      </c>
    </row>
    <row r="13" spans="1:6" x14ac:dyDescent="0.2">
      <c r="A13" t="s">
        <v>229</v>
      </c>
      <c r="B13">
        <v>1</v>
      </c>
    </row>
    <row r="14" spans="1:6" x14ac:dyDescent="0.2">
      <c r="A14" t="s">
        <v>230</v>
      </c>
      <c r="B14">
        <f>2.32*(10/2.4)</f>
        <v>9.6666666666666661</v>
      </c>
    </row>
    <row r="16" spans="1:6" x14ac:dyDescent="0.2">
      <c r="A16" t="s">
        <v>231</v>
      </c>
    </row>
    <row r="17" spans="1:3" x14ac:dyDescent="0.2">
      <c r="A17" t="s">
        <v>232</v>
      </c>
      <c r="B17">
        <f>2.3*(1/1.83)</f>
        <v>1.256830601092896</v>
      </c>
      <c r="C17" t="s">
        <v>233</v>
      </c>
    </row>
    <row r="18" spans="1:3" x14ac:dyDescent="0.2">
      <c r="B18">
        <f>1.65*(1/1.83)</f>
        <v>0.90163934426229497</v>
      </c>
      <c r="C18" t="s">
        <v>234</v>
      </c>
    </row>
  </sheetData>
  <phoneticPr fontId="0"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F31" sqref="F31"/>
    </sheetView>
  </sheetViews>
  <sheetFormatPr baseColWidth="10" defaultRowHeight="12.75" x14ac:dyDescent="0.2"/>
  <sheetData>
    <row r="1" spans="1:7" x14ac:dyDescent="0.2">
      <c r="A1" t="s">
        <v>4</v>
      </c>
    </row>
    <row r="4" spans="1:7" x14ac:dyDescent="0.2">
      <c r="A4" t="s">
        <v>5</v>
      </c>
    </row>
    <row r="7" spans="1:7" x14ac:dyDescent="0.2">
      <c r="A7" t="s">
        <v>6</v>
      </c>
      <c r="B7" t="s">
        <v>9</v>
      </c>
    </row>
    <row r="8" spans="1:7" x14ac:dyDescent="0.2">
      <c r="B8" t="s">
        <v>7</v>
      </c>
      <c r="C8" t="s">
        <v>10</v>
      </c>
      <c r="D8" t="s">
        <v>11</v>
      </c>
      <c r="E8" t="s">
        <v>8</v>
      </c>
      <c r="F8" t="s">
        <v>10</v>
      </c>
      <c r="G8" t="s">
        <v>11</v>
      </c>
    </row>
    <row r="9" spans="1:7" x14ac:dyDescent="0.2">
      <c r="A9">
        <v>0</v>
      </c>
      <c r="B9">
        <v>3000</v>
      </c>
      <c r="C9" s="1">
        <f>(10000/B9)</f>
        <v>3.3333333333333335</v>
      </c>
      <c r="D9" s="1">
        <f>SQRT(10000/(PI()*B9))</f>
        <v>1.0300645387285055</v>
      </c>
      <c r="E9">
        <v>3000</v>
      </c>
      <c r="F9" s="1">
        <f>(10000/E9)</f>
        <v>3.3333333333333335</v>
      </c>
      <c r="G9" s="1">
        <f>SQRT(10000/(PI()*E9))</f>
        <v>1.0300645387285055</v>
      </c>
    </row>
    <row r="10" spans="1:7" x14ac:dyDescent="0.2">
      <c r="A10">
        <v>10</v>
      </c>
      <c r="C10" s="1"/>
      <c r="D10" s="1"/>
      <c r="F10" s="1"/>
      <c r="G10" s="1"/>
    </row>
    <row r="11" spans="1:7" x14ac:dyDescent="0.2">
      <c r="A11">
        <v>20</v>
      </c>
      <c r="C11" s="1"/>
      <c r="D11" s="1"/>
      <c r="F11" s="1"/>
      <c r="G11" s="1"/>
    </row>
    <row r="12" spans="1:7" x14ac:dyDescent="0.2">
      <c r="A12">
        <v>30</v>
      </c>
      <c r="B12">
        <v>2750</v>
      </c>
      <c r="C12" s="1">
        <f>(10000/B12)</f>
        <v>3.6363636363636362</v>
      </c>
      <c r="D12" s="1">
        <f>SQRT(10000/(PI()*B12))</f>
        <v>1.0758673223096724</v>
      </c>
      <c r="E12">
        <v>2750</v>
      </c>
      <c r="F12" s="1">
        <f>(10000/E12)</f>
        <v>3.6363636363636362</v>
      </c>
      <c r="G12" s="1">
        <f>SQRT(10000/(PI()*E12))</f>
        <v>1.0758673223096724</v>
      </c>
    </row>
    <row r="13" spans="1:7" x14ac:dyDescent="0.2">
      <c r="A13">
        <v>40</v>
      </c>
      <c r="C13" s="1"/>
      <c r="D13" s="1"/>
      <c r="F13" s="1"/>
      <c r="G13" s="1"/>
    </row>
    <row r="14" spans="1:7" x14ac:dyDescent="0.2">
      <c r="A14">
        <v>50</v>
      </c>
      <c r="B14">
        <v>2250</v>
      </c>
      <c r="C14" s="1">
        <f>(10000/B14)</f>
        <v>4.4444444444444446</v>
      </c>
      <c r="D14" s="1">
        <f>SQRT(10000/(PI()*B14))</f>
        <v>1.1894160774351807</v>
      </c>
      <c r="F14" s="1"/>
      <c r="G14" s="1"/>
    </row>
    <row r="15" spans="1:7" x14ac:dyDescent="0.2">
      <c r="A15">
        <v>60</v>
      </c>
      <c r="C15" s="1"/>
      <c r="D15" s="1"/>
      <c r="F15" s="1"/>
      <c r="G15" s="1"/>
    </row>
    <row r="16" spans="1:7" x14ac:dyDescent="0.2">
      <c r="A16">
        <v>70</v>
      </c>
      <c r="B16">
        <v>1750</v>
      </c>
      <c r="C16" s="1">
        <f>(10000/B16)</f>
        <v>5.7142857142857144</v>
      </c>
      <c r="D16" s="1">
        <f>SQRT(10000/(PI()*B16))</f>
        <v>1.3486710626894709</v>
      </c>
      <c r="E16">
        <v>1750</v>
      </c>
      <c r="F16" s="1">
        <f>(10000/E16)</f>
        <v>5.7142857142857144</v>
      </c>
      <c r="G16" s="1">
        <f>SQRT(10000/(PI()*E16))</f>
        <v>1.3486710626894709</v>
      </c>
    </row>
    <row r="17" spans="1:7" x14ac:dyDescent="0.2">
      <c r="A17">
        <v>80</v>
      </c>
      <c r="C17" s="1"/>
      <c r="D17" s="1"/>
      <c r="F17" s="1"/>
      <c r="G17" s="1"/>
    </row>
    <row r="18" spans="1:7" x14ac:dyDescent="0.2">
      <c r="A18">
        <v>90</v>
      </c>
      <c r="B18">
        <v>1225</v>
      </c>
      <c r="C18" s="1">
        <f>(10000/B18)</f>
        <v>8.1632653061224492</v>
      </c>
      <c r="D18" s="1">
        <f>SQRT(10000/(PI()*B18))</f>
        <v>1.6119702387078751</v>
      </c>
      <c r="F18" s="1"/>
      <c r="G18" s="1"/>
    </row>
    <row r="19" spans="1:7" x14ac:dyDescent="0.2">
      <c r="A19">
        <v>100</v>
      </c>
      <c r="C19" s="1"/>
      <c r="D19" s="1"/>
      <c r="F19" s="1"/>
      <c r="G19" s="1"/>
    </row>
    <row r="20" spans="1:7" x14ac:dyDescent="0.2">
      <c r="A20">
        <v>110</v>
      </c>
      <c r="B20">
        <v>750</v>
      </c>
      <c r="C20" s="1">
        <f>(10000/B20)</f>
        <v>13.333333333333334</v>
      </c>
      <c r="D20" s="1">
        <f>SQRT(10000/(PI()*B20))</f>
        <v>2.0601290774570109</v>
      </c>
      <c r="E20">
        <v>750</v>
      </c>
      <c r="F20" s="1">
        <f>(10000/E20)</f>
        <v>13.333333333333334</v>
      </c>
      <c r="G20" s="1">
        <f>SQRT(10000/(PI()*E20))</f>
        <v>2.0601290774570109</v>
      </c>
    </row>
    <row r="21" spans="1:7" x14ac:dyDescent="0.2">
      <c r="A21">
        <v>120</v>
      </c>
      <c r="C21" s="1"/>
      <c r="D21" s="1"/>
      <c r="F21" s="1"/>
      <c r="G21" s="1"/>
    </row>
    <row r="22" spans="1:7" x14ac:dyDescent="0.2">
      <c r="A22">
        <v>130</v>
      </c>
      <c r="B22">
        <v>750</v>
      </c>
      <c r="C22" s="1">
        <f>(10000/B22)</f>
        <v>13.333333333333334</v>
      </c>
      <c r="D22" s="1">
        <f>SQRT(10000/(PI()*B22))</f>
        <v>2.0601290774570109</v>
      </c>
      <c r="F22" s="1"/>
      <c r="G22" s="1"/>
    </row>
    <row r="23" spans="1:7" x14ac:dyDescent="0.2">
      <c r="A23">
        <v>140</v>
      </c>
      <c r="B23">
        <v>750</v>
      </c>
      <c r="C23" s="1">
        <f>(10000/B23)</f>
        <v>13.333333333333334</v>
      </c>
      <c r="D23" s="1">
        <f>SQRT(10000/(PI()*B23))</f>
        <v>2.0601290774570109</v>
      </c>
      <c r="E23">
        <v>750</v>
      </c>
      <c r="F23" s="1">
        <f>(10000/E23)</f>
        <v>13.333333333333334</v>
      </c>
      <c r="G23" s="1">
        <f>SQRT(10000/(PI()*E23))</f>
        <v>2.0601290774570109</v>
      </c>
    </row>
    <row r="27" spans="1:7" x14ac:dyDescent="0.2">
      <c r="A27" t="s">
        <v>12</v>
      </c>
    </row>
    <row r="29" spans="1:7" x14ac:dyDescent="0.2">
      <c r="A29" t="s">
        <v>13</v>
      </c>
      <c r="B29" t="s">
        <v>14</v>
      </c>
      <c r="C29" t="s">
        <v>15</v>
      </c>
      <c r="D29" t="s">
        <v>16</v>
      </c>
      <c r="E29" t="s">
        <v>17</v>
      </c>
      <c r="F29" t="s">
        <v>18</v>
      </c>
    </row>
    <row r="30" spans="1:7" x14ac:dyDescent="0.2">
      <c r="A30" t="s">
        <v>19</v>
      </c>
      <c r="B30">
        <v>3.2</v>
      </c>
      <c r="C30">
        <v>0.3</v>
      </c>
      <c r="D30">
        <v>2.8</v>
      </c>
      <c r="E30">
        <v>0.2</v>
      </c>
      <c r="F30">
        <f>1/D30</f>
        <v>0.35714285714285715</v>
      </c>
    </row>
    <row r="31" spans="1:7" x14ac:dyDescent="0.2">
      <c r="A31" t="s">
        <v>20</v>
      </c>
      <c r="B31">
        <v>4.4000000000000004</v>
      </c>
      <c r="C31">
        <v>0.3</v>
      </c>
      <c r="D31">
        <v>2.5</v>
      </c>
      <c r="E31">
        <v>0.3</v>
      </c>
      <c r="F31">
        <f>1/D31</f>
        <v>0.4</v>
      </c>
    </row>
  </sheetData>
  <phoneticPr fontId="0"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opLeftCell="A4" workbookViewId="0">
      <selection activeCell="E35" sqref="E35"/>
    </sheetView>
  </sheetViews>
  <sheetFormatPr baseColWidth="10" defaultRowHeight="12.75" x14ac:dyDescent="0.2"/>
  <sheetData>
    <row r="1" spans="1:5" x14ac:dyDescent="0.2">
      <c r="A1" t="s">
        <v>24</v>
      </c>
    </row>
    <row r="3" spans="1:5" x14ac:dyDescent="0.2">
      <c r="A3" t="s">
        <v>25</v>
      </c>
      <c r="B3" t="s">
        <v>27</v>
      </c>
    </row>
    <row r="4" spans="1:5" x14ac:dyDescent="0.2">
      <c r="B4">
        <v>1997</v>
      </c>
      <c r="D4">
        <v>2000</v>
      </c>
    </row>
    <row r="5" spans="1:5" x14ac:dyDescent="0.2">
      <c r="A5" t="s">
        <v>26</v>
      </c>
      <c r="B5" t="s">
        <v>28</v>
      </c>
      <c r="C5" t="s">
        <v>29</v>
      </c>
      <c r="D5" t="s">
        <v>28</v>
      </c>
      <c r="E5" t="s">
        <v>29</v>
      </c>
    </row>
    <row r="6" spans="1:5" x14ac:dyDescent="0.2">
      <c r="A6" t="s">
        <v>30</v>
      </c>
      <c r="B6">
        <v>10.8</v>
      </c>
      <c r="C6">
        <v>6.6</v>
      </c>
      <c r="D6">
        <v>11.1</v>
      </c>
      <c r="E6">
        <v>7</v>
      </c>
    </row>
    <row r="7" spans="1:5" x14ac:dyDescent="0.2">
      <c r="A7" t="s">
        <v>31</v>
      </c>
      <c r="B7">
        <v>8.1999999999999993</v>
      </c>
      <c r="C7">
        <v>5.0999999999999996</v>
      </c>
      <c r="D7">
        <v>8.5</v>
      </c>
      <c r="E7">
        <v>5.2</v>
      </c>
    </row>
    <row r="8" spans="1:5" x14ac:dyDescent="0.2">
      <c r="A8" t="s">
        <v>32</v>
      </c>
      <c r="B8">
        <v>6.3</v>
      </c>
      <c r="C8">
        <v>4.2</v>
      </c>
      <c r="D8">
        <v>6.3</v>
      </c>
      <c r="E8">
        <v>4.3</v>
      </c>
    </row>
    <row r="9" spans="1:5" x14ac:dyDescent="0.2">
      <c r="A9" t="s">
        <v>33</v>
      </c>
      <c r="B9">
        <v>5.5</v>
      </c>
      <c r="C9">
        <v>3.4</v>
      </c>
      <c r="D9">
        <v>5.5</v>
      </c>
      <c r="E9">
        <v>3.4</v>
      </c>
    </row>
    <row r="10" spans="1:5" x14ac:dyDescent="0.2">
      <c r="A10" t="s">
        <v>34</v>
      </c>
      <c r="B10">
        <v>5.4</v>
      </c>
      <c r="C10">
        <v>3.5</v>
      </c>
      <c r="D10">
        <v>5.5</v>
      </c>
      <c r="E10">
        <v>3.6</v>
      </c>
    </row>
    <row r="13" spans="1:5" x14ac:dyDescent="0.2">
      <c r="A13" t="s">
        <v>35</v>
      </c>
    </row>
    <row r="14" spans="1:5" x14ac:dyDescent="0.2">
      <c r="B14" t="s">
        <v>37</v>
      </c>
      <c r="C14" t="s">
        <v>38</v>
      </c>
    </row>
    <row r="15" spans="1:5" x14ac:dyDescent="0.2">
      <c r="A15" t="s">
        <v>36</v>
      </c>
      <c r="B15" t="s">
        <v>39</v>
      </c>
    </row>
    <row r="16" spans="1:5" x14ac:dyDescent="0.2">
      <c r="A16" t="s">
        <v>26</v>
      </c>
    </row>
    <row r="17" spans="1:5" x14ac:dyDescent="0.2">
      <c r="A17" t="s">
        <v>30</v>
      </c>
      <c r="B17">
        <v>0.38900000000000001</v>
      </c>
      <c r="C17">
        <v>1.22</v>
      </c>
      <c r="D17">
        <v>2.1059999999999999</v>
      </c>
    </row>
    <row r="18" spans="1:5" x14ac:dyDescent="0.2">
      <c r="A18" t="s">
        <v>31</v>
      </c>
      <c r="B18">
        <v>0.41299999999999998</v>
      </c>
      <c r="C18">
        <v>1.6679999999999999</v>
      </c>
      <c r="D18">
        <v>3.0760000000000001</v>
      </c>
    </row>
    <row r="19" spans="1:5" x14ac:dyDescent="0.2">
      <c r="A19" t="s">
        <v>32</v>
      </c>
      <c r="B19">
        <v>0.40799999999999997</v>
      </c>
      <c r="C19">
        <v>1.2170000000000001</v>
      </c>
      <c r="D19">
        <v>2.2400000000000002</v>
      </c>
    </row>
    <row r="20" spans="1:5" x14ac:dyDescent="0.2">
      <c r="A20" t="s">
        <v>33</v>
      </c>
      <c r="B20">
        <v>0.40100000000000002</v>
      </c>
      <c r="C20">
        <v>1.401</v>
      </c>
      <c r="D20">
        <v>2.77</v>
      </c>
    </row>
    <row r="22" spans="1:5" x14ac:dyDescent="0.2">
      <c r="A22" t="s">
        <v>40</v>
      </c>
      <c r="B22" t="s">
        <v>41</v>
      </c>
    </row>
    <row r="23" spans="1:5" x14ac:dyDescent="0.2">
      <c r="A23" t="s">
        <v>30</v>
      </c>
      <c r="B23">
        <v>0.61</v>
      </c>
      <c r="C23">
        <v>3.2149999999999999</v>
      </c>
      <c r="D23">
        <v>4.782</v>
      </c>
    </row>
    <row r="24" spans="1:5" x14ac:dyDescent="0.2">
      <c r="A24" t="s">
        <v>31</v>
      </c>
      <c r="B24">
        <v>0.59699999999999998</v>
      </c>
      <c r="C24">
        <v>2.931</v>
      </c>
      <c r="D24">
        <v>4.7190000000000003</v>
      </c>
    </row>
    <row r="25" spans="1:5" x14ac:dyDescent="0.2">
      <c r="A25" t="s">
        <v>32</v>
      </c>
      <c r="B25">
        <v>0.61599999999999999</v>
      </c>
      <c r="C25">
        <v>2.8069999999999999</v>
      </c>
      <c r="D25">
        <v>4.0149999999999997</v>
      </c>
    </row>
    <row r="30" spans="1:5" x14ac:dyDescent="0.2">
      <c r="A30" t="s">
        <v>42</v>
      </c>
    </row>
    <row r="32" spans="1:5" x14ac:dyDescent="0.2">
      <c r="B32" t="s">
        <v>43</v>
      </c>
      <c r="C32" t="s">
        <v>44</v>
      </c>
      <c r="D32" t="s">
        <v>45</v>
      </c>
      <c r="E32" t="s">
        <v>46</v>
      </c>
    </row>
    <row r="33" spans="1:5" x14ac:dyDescent="0.2">
      <c r="A33" t="s">
        <v>30</v>
      </c>
      <c r="B33">
        <v>383.8</v>
      </c>
      <c r="C33">
        <f>(B33/PI())/10</f>
        <v>12.216733431733887</v>
      </c>
      <c r="D33">
        <f>C33-2</f>
        <v>10.216733431733887</v>
      </c>
      <c r="E33">
        <v>2.7</v>
      </c>
    </row>
    <row r="34" spans="1:5" x14ac:dyDescent="0.2">
      <c r="A34" t="s">
        <v>31</v>
      </c>
      <c r="B34">
        <v>338.2</v>
      </c>
      <c r="C34">
        <f>(B34/PI())/10</f>
        <v>10.7652403507358</v>
      </c>
      <c r="D34">
        <f>C34-2</f>
        <v>8.7652403507357999</v>
      </c>
      <c r="E34">
        <v>0.6</v>
      </c>
    </row>
    <row r="35" spans="1:5" x14ac:dyDescent="0.2">
      <c r="A35" t="s">
        <v>32</v>
      </c>
      <c r="B35">
        <v>254.9</v>
      </c>
      <c r="C35">
        <f>(B35/PI())/10</f>
        <v>8.1137189988248259</v>
      </c>
      <c r="D35">
        <f>C35-2</f>
        <v>6.1137189988248259</v>
      </c>
      <c r="E35">
        <v>4.5</v>
      </c>
    </row>
    <row r="36" spans="1:5" x14ac:dyDescent="0.2">
      <c r="A36" t="s">
        <v>33</v>
      </c>
      <c r="B36">
        <v>242</v>
      </c>
      <c r="C36">
        <f>(B36/PI())/10</f>
        <v>7.703099245647735</v>
      </c>
      <c r="D36">
        <f>C36-2</f>
        <v>5.703099245647735</v>
      </c>
      <c r="E36">
        <v>2.2000000000000002</v>
      </c>
    </row>
  </sheetData>
  <phoneticPr fontId="0" type="noConversion"/>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B24" sqref="B24"/>
    </sheetView>
  </sheetViews>
  <sheetFormatPr baseColWidth="10" defaultRowHeight="12.75" x14ac:dyDescent="0.2"/>
  <cols>
    <col min="1" max="1" width="16.42578125" customWidth="1"/>
  </cols>
  <sheetData>
    <row r="1" spans="1:6" x14ac:dyDescent="0.2">
      <c r="A1" s="3" t="s">
        <v>71</v>
      </c>
    </row>
    <row r="2" spans="1:6" x14ac:dyDescent="0.2">
      <c r="A2" s="3"/>
    </row>
    <row r="3" spans="1:6" x14ac:dyDescent="0.2">
      <c r="A3" t="s">
        <v>67</v>
      </c>
    </row>
    <row r="5" spans="1:6" x14ac:dyDescent="0.2">
      <c r="A5" t="s">
        <v>47</v>
      </c>
    </row>
    <row r="7" spans="1:6" x14ac:dyDescent="0.2">
      <c r="B7" t="s">
        <v>64</v>
      </c>
      <c r="C7" t="s">
        <v>66</v>
      </c>
      <c r="D7" t="s">
        <v>65</v>
      </c>
      <c r="E7" t="s">
        <v>66</v>
      </c>
    </row>
    <row r="8" spans="1:6" x14ac:dyDescent="0.2">
      <c r="A8" t="s">
        <v>48</v>
      </c>
    </row>
    <row r="9" spans="1:6" x14ac:dyDescent="0.2">
      <c r="A9" s="2" t="s">
        <v>49</v>
      </c>
      <c r="B9">
        <v>0.54</v>
      </c>
      <c r="C9">
        <v>7.0000000000000001E-3</v>
      </c>
      <c r="D9">
        <v>0.65</v>
      </c>
      <c r="E9">
        <v>1.4E-2</v>
      </c>
    </row>
    <row r="10" spans="1:6" x14ac:dyDescent="0.2">
      <c r="A10" s="2" t="s">
        <v>51</v>
      </c>
      <c r="B10">
        <v>0.52</v>
      </c>
      <c r="C10">
        <v>1.2E-2</v>
      </c>
      <c r="D10">
        <v>0.6</v>
      </c>
      <c r="E10">
        <v>5.0000000000000001E-3</v>
      </c>
    </row>
    <row r="11" spans="1:6" x14ac:dyDescent="0.2">
      <c r="A11" s="2" t="s">
        <v>50</v>
      </c>
      <c r="B11">
        <v>0.53</v>
      </c>
      <c r="C11">
        <v>1.2999999999999999E-2</v>
      </c>
      <c r="D11">
        <v>0.57999999999999996</v>
      </c>
      <c r="E11">
        <v>0.01</v>
      </c>
    </row>
    <row r="12" spans="1:6" x14ac:dyDescent="0.2">
      <c r="A12" s="2"/>
    </row>
    <row r="13" spans="1:6" x14ac:dyDescent="0.2">
      <c r="A13" s="2" t="s">
        <v>69</v>
      </c>
    </row>
    <row r="14" spans="1:6" x14ac:dyDescent="0.2">
      <c r="A14" s="2" t="s">
        <v>53</v>
      </c>
      <c r="B14">
        <v>0.17</v>
      </c>
      <c r="C14">
        <v>0.01</v>
      </c>
      <c r="D14">
        <v>0.21</v>
      </c>
      <c r="E14">
        <v>0.01</v>
      </c>
      <c r="F14" t="s">
        <v>70</v>
      </c>
    </row>
    <row r="15" spans="1:6" x14ac:dyDescent="0.2">
      <c r="A15" s="2" t="s">
        <v>52</v>
      </c>
      <c r="B15">
        <v>4.9400000000000004</v>
      </c>
      <c r="C15">
        <v>0.1</v>
      </c>
      <c r="D15">
        <v>5.28</v>
      </c>
      <c r="E15">
        <v>0.14000000000000001</v>
      </c>
      <c r="F15">
        <f>D15*1000*1000/1000/1000</f>
        <v>5.28</v>
      </c>
    </row>
    <row r="16" spans="1:6" x14ac:dyDescent="0.2">
      <c r="A16" s="2"/>
    </row>
    <row r="17" spans="1:7" x14ac:dyDescent="0.2">
      <c r="A17" s="2" t="s">
        <v>54</v>
      </c>
    </row>
    <row r="18" spans="1:7" x14ac:dyDescent="0.2">
      <c r="A18" s="2" t="s">
        <v>55</v>
      </c>
      <c r="B18" s="9">
        <v>19.53</v>
      </c>
      <c r="C18">
        <v>0.9</v>
      </c>
      <c r="D18" s="9">
        <v>32.549999999999997</v>
      </c>
      <c r="E18">
        <v>2.04</v>
      </c>
    </row>
    <row r="19" spans="1:7" x14ac:dyDescent="0.2">
      <c r="A19" s="2" t="s">
        <v>56</v>
      </c>
      <c r="B19" s="9">
        <v>35.33</v>
      </c>
      <c r="C19">
        <v>1.65</v>
      </c>
      <c r="D19" s="9">
        <v>42.67</v>
      </c>
      <c r="E19">
        <v>2.2200000000000002</v>
      </c>
    </row>
    <row r="20" spans="1:7" x14ac:dyDescent="0.2">
      <c r="A20" s="2" t="s">
        <v>57</v>
      </c>
      <c r="B20" s="9">
        <v>0.4</v>
      </c>
      <c r="C20">
        <v>2.3E-2</v>
      </c>
      <c r="D20" s="9">
        <v>0.67</v>
      </c>
      <c r="E20">
        <v>7.0000000000000007E-2</v>
      </c>
    </row>
    <row r="21" spans="1:7" ht="25.5" x14ac:dyDescent="0.2">
      <c r="A21" s="2" t="s">
        <v>58</v>
      </c>
      <c r="B21" s="9">
        <v>202</v>
      </c>
      <c r="C21">
        <v>23.5</v>
      </c>
      <c r="D21" s="9">
        <v>503.4</v>
      </c>
      <c r="E21">
        <v>49.4</v>
      </c>
      <c r="F21" t="s">
        <v>68</v>
      </c>
    </row>
    <row r="22" spans="1:7" x14ac:dyDescent="0.2">
      <c r="A22" s="2" t="s">
        <v>59</v>
      </c>
      <c r="B22" s="9">
        <v>3.23</v>
      </c>
      <c r="C22">
        <v>0.32</v>
      </c>
      <c r="D22" s="9">
        <v>8.64</v>
      </c>
      <c r="E22">
        <v>0.77</v>
      </c>
      <c r="F22">
        <f>(D22/1000)/(D20*D20*PI()*0.25)</f>
        <v>2.4506103066410788E-2</v>
      </c>
    </row>
    <row r="23" spans="1:7" x14ac:dyDescent="0.2">
      <c r="A23" s="2" t="s">
        <v>60</v>
      </c>
      <c r="B23" s="9">
        <v>3.86</v>
      </c>
      <c r="C23">
        <v>0.46</v>
      </c>
      <c r="D23" s="9">
        <v>9.26</v>
      </c>
      <c r="E23">
        <v>0.78</v>
      </c>
    </row>
    <row r="24" spans="1:7" x14ac:dyDescent="0.2">
      <c r="A24" s="2" t="s">
        <v>61</v>
      </c>
      <c r="B24" s="9">
        <v>1.44</v>
      </c>
      <c r="C24">
        <v>0.12</v>
      </c>
      <c r="D24" s="9">
        <v>5.89</v>
      </c>
      <c r="E24">
        <v>0.36</v>
      </c>
    </row>
    <row r="25" spans="1:7" x14ac:dyDescent="0.2">
      <c r="A25" s="2" t="s">
        <v>62</v>
      </c>
      <c r="B25" s="9">
        <v>8.57</v>
      </c>
      <c r="C25">
        <v>0.85</v>
      </c>
      <c r="D25" s="9">
        <v>23.76</v>
      </c>
      <c r="E25">
        <v>1.77</v>
      </c>
    </row>
    <row r="26" spans="1:7" x14ac:dyDescent="0.2">
      <c r="A26" s="2" t="s">
        <v>63</v>
      </c>
      <c r="B26" s="9">
        <v>0.38</v>
      </c>
      <c r="C26">
        <v>0.02</v>
      </c>
      <c r="D26" s="9">
        <v>0.4</v>
      </c>
      <c r="E26">
        <v>0.03</v>
      </c>
    </row>
    <row r="29" spans="1:7" x14ac:dyDescent="0.2">
      <c r="B29" t="s">
        <v>166</v>
      </c>
      <c r="C29" t="s">
        <v>167</v>
      </c>
      <c r="D29" t="s">
        <v>169</v>
      </c>
    </row>
    <row r="30" spans="1:7" x14ac:dyDescent="0.2">
      <c r="B30">
        <f>B18</f>
        <v>19.53</v>
      </c>
      <c r="C30">
        <f>B23</f>
        <v>3.86</v>
      </c>
      <c r="D30">
        <f>B22</f>
        <v>3.23</v>
      </c>
      <c r="E30">
        <f>D30/1000</f>
        <v>3.2299999999999998E-3</v>
      </c>
      <c r="F30">
        <f>C30/1000</f>
        <v>3.8599999999999997E-3</v>
      </c>
      <c r="G30">
        <f>0.3927*POWER(F30,0.6786)</f>
        <v>9.0431356660538396E-3</v>
      </c>
    </row>
    <row r="31" spans="1:7" x14ac:dyDescent="0.2">
      <c r="B31">
        <f>D18</f>
        <v>32.549999999999997</v>
      </c>
      <c r="C31">
        <f>D23</f>
        <v>9.26</v>
      </c>
      <c r="D31">
        <f>D22</f>
        <v>8.64</v>
      </c>
      <c r="E31">
        <f>D31/1000</f>
        <v>8.6400000000000001E-3</v>
      </c>
      <c r="F31">
        <f>C31/1000</f>
        <v>9.2599999999999991E-3</v>
      </c>
      <c r="G31">
        <f>0.3927*POWER(F31,0.6786)</f>
        <v>1.6375822293968403E-2</v>
      </c>
    </row>
  </sheetData>
  <phoneticPr fontId="0" type="noConversion"/>
  <pageMargins left="0.78740157499999996" right="0.78740157499999996" top="0.984251969" bottom="0.984251969" header="0.4921259845" footer="0.492125984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topLeftCell="B1" workbookViewId="0">
      <selection activeCell="F11" sqref="F11:F13"/>
    </sheetView>
  </sheetViews>
  <sheetFormatPr baseColWidth="10" defaultRowHeight="12.75" x14ac:dyDescent="0.2"/>
  <cols>
    <col min="12" max="12" width="17.7109375" customWidth="1"/>
  </cols>
  <sheetData>
    <row r="1" spans="1:15" x14ac:dyDescent="0.2">
      <c r="A1" t="s">
        <v>74</v>
      </c>
    </row>
    <row r="4" spans="1:15" x14ac:dyDescent="0.2">
      <c r="A4" t="s">
        <v>76</v>
      </c>
    </row>
    <row r="7" spans="1:15" x14ac:dyDescent="0.2">
      <c r="A7" t="s">
        <v>77</v>
      </c>
    </row>
    <row r="9" spans="1:15" x14ac:dyDescent="0.2">
      <c r="F9" t="s">
        <v>80</v>
      </c>
      <c r="J9" t="s">
        <v>86</v>
      </c>
    </row>
    <row r="10" spans="1:15" x14ac:dyDescent="0.2">
      <c r="A10" t="s">
        <v>78</v>
      </c>
      <c r="B10" s="9" t="s">
        <v>55</v>
      </c>
      <c r="C10" t="s">
        <v>90</v>
      </c>
      <c r="D10" s="9" t="s">
        <v>79</v>
      </c>
      <c r="E10" t="s">
        <v>90</v>
      </c>
      <c r="F10" s="9" t="s">
        <v>81</v>
      </c>
      <c r="G10" t="s">
        <v>90</v>
      </c>
      <c r="H10" s="9" t="s">
        <v>82</v>
      </c>
      <c r="I10" t="s">
        <v>90</v>
      </c>
      <c r="J10" t="s">
        <v>83</v>
      </c>
      <c r="K10" t="s">
        <v>90</v>
      </c>
      <c r="L10" t="s">
        <v>84</v>
      </c>
      <c r="M10" t="s">
        <v>90</v>
      </c>
      <c r="N10" t="s">
        <v>85</v>
      </c>
      <c r="O10" t="s">
        <v>90</v>
      </c>
    </row>
    <row r="11" spans="1:15" x14ac:dyDescent="0.2">
      <c r="A11" t="s">
        <v>87</v>
      </c>
      <c r="B11">
        <v>17.5</v>
      </c>
      <c r="C11">
        <v>0.6</v>
      </c>
      <c r="D11">
        <v>5</v>
      </c>
      <c r="E11">
        <v>0.2</v>
      </c>
      <c r="F11">
        <v>9.5</v>
      </c>
      <c r="G11">
        <v>0.7</v>
      </c>
      <c r="H11">
        <v>6.6</v>
      </c>
      <c r="I11">
        <v>0.4</v>
      </c>
      <c r="J11">
        <v>0.67</v>
      </c>
      <c r="K11">
        <v>0.01</v>
      </c>
      <c r="L11">
        <v>18.3</v>
      </c>
      <c r="M11">
        <v>1</v>
      </c>
      <c r="N11">
        <v>5.3</v>
      </c>
      <c r="O11">
        <v>0.1</v>
      </c>
    </row>
    <row r="12" spans="1:15" x14ac:dyDescent="0.2">
      <c r="A12" t="s">
        <v>88</v>
      </c>
      <c r="B12">
        <v>16.8</v>
      </c>
      <c r="C12">
        <v>0.7</v>
      </c>
      <c r="D12">
        <v>4.5999999999999996</v>
      </c>
      <c r="E12">
        <v>0.3</v>
      </c>
      <c r="F12">
        <v>7.1</v>
      </c>
      <c r="G12">
        <v>0.4</v>
      </c>
      <c r="H12">
        <v>4.4000000000000004</v>
      </c>
      <c r="I12">
        <v>0.2</v>
      </c>
      <c r="J12">
        <v>0.61</v>
      </c>
      <c r="K12">
        <v>0.02</v>
      </c>
      <c r="L12">
        <v>14.6</v>
      </c>
      <c r="M12">
        <v>1.6</v>
      </c>
      <c r="N12">
        <v>5.4</v>
      </c>
      <c r="O12">
        <v>0.2</v>
      </c>
    </row>
    <row r="13" spans="1:15" x14ac:dyDescent="0.2">
      <c r="A13" t="s">
        <v>89</v>
      </c>
      <c r="B13">
        <v>16.100000000000001</v>
      </c>
      <c r="C13">
        <v>0.8</v>
      </c>
      <c r="D13">
        <v>5.0999999999999996</v>
      </c>
      <c r="E13">
        <v>0.2</v>
      </c>
      <c r="F13">
        <v>6.8</v>
      </c>
      <c r="G13">
        <v>0.7</v>
      </c>
      <c r="H13">
        <v>4.0999999999999996</v>
      </c>
      <c r="I13">
        <v>0.4</v>
      </c>
      <c r="J13">
        <v>0.59</v>
      </c>
      <c r="K13">
        <v>0.03</v>
      </c>
      <c r="L13">
        <v>14.1</v>
      </c>
      <c r="M13">
        <v>1.1000000000000001</v>
      </c>
      <c r="N13">
        <v>4.8</v>
      </c>
      <c r="O13">
        <v>0.3</v>
      </c>
    </row>
    <row r="15" spans="1:15" x14ac:dyDescent="0.2">
      <c r="A15" t="s">
        <v>91</v>
      </c>
    </row>
  </sheetData>
  <phoneticPr fontId="0" type="noConversion"/>
  <pageMargins left="0.78740157499999996" right="0.78740157499999996" top="0.984251969" bottom="0.984251969" header="0.4921259845" footer="0.4921259845"/>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workbookViewId="0">
      <selection activeCell="N8" sqref="N8"/>
    </sheetView>
  </sheetViews>
  <sheetFormatPr baseColWidth="10" defaultRowHeight="12.75" x14ac:dyDescent="0.2"/>
  <cols>
    <col min="10" max="10" width="17.42578125" customWidth="1"/>
    <col min="12" max="12" width="17.28515625" customWidth="1"/>
  </cols>
  <sheetData>
    <row r="1" spans="1:23" x14ac:dyDescent="0.2">
      <c r="A1" t="s">
        <v>92</v>
      </c>
    </row>
    <row r="3" spans="1:23" x14ac:dyDescent="0.2">
      <c r="A3" t="s">
        <v>94</v>
      </c>
    </row>
    <row r="6" spans="1:23" x14ac:dyDescent="0.2">
      <c r="A6" t="s">
        <v>95</v>
      </c>
      <c r="V6" s="5">
        <v>2.1</v>
      </c>
      <c r="W6" s="7" t="s">
        <v>113</v>
      </c>
    </row>
    <row r="7" spans="1:23" x14ac:dyDescent="0.2">
      <c r="L7" t="s">
        <v>105</v>
      </c>
      <c r="V7" s="5">
        <v>0.08</v>
      </c>
      <c r="W7" s="7" t="s">
        <v>114</v>
      </c>
    </row>
    <row r="8" spans="1:23" x14ac:dyDescent="0.2">
      <c r="A8" t="s">
        <v>96</v>
      </c>
      <c r="B8" t="s">
        <v>97</v>
      </c>
      <c r="C8" t="s">
        <v>98</v>
      </c>
      <c r="D8" s="9" t="s">
        <v>28</v>
      </c>
      <c r="E8" t="s">
        <v>90</v>
      </c>
      <c r="F8" s="9" t="s">
        <v>29</v>
      </c>
      <c r="G8" t="s">
        <v>90</v>
      </c>
      <c r="H8" s="9" t="s">
        <v>99</v>
      </c>
      <c r="I8" t="s">
        <v>90</v>
      </c>
      <c r="J8" s="9" t="s">
        <v>100</v>
      </c>
      <c r="K8" t="s">
        <v>90</v>
      </c>
      <c r="L8" s="9" t="s">
        <v>101</v>
      </c>
      <c r="M8" t="s">
        <v>90</v>
      </c>
      <c r="N8" s="9" t="s">
        <v>102</v>
      </c>
      <c r="O8" t="s">
        <v>90</v>
      </c>
      <c r="P8" t="s">
        <v>103</v>
      </c>
      <c r="Q8" t="s">
        <v>90</v>
      </c>
      <c r="R8" t="s">
        <v>135</v>
      </c>
      <c r="S8" t="s">
        <v>104</v>
      </c>
      <c r="T8" t="s">
        <v>90</v>
      </c>
      <c r="V8" s="5">
        <v>-0.6</v>
      </c>
      <c r="W8" s="7" t="s">
        <v>115</v>
      </c>
    </row>
    <row r="9" spans="1:23" x14ac:dyDescent="0.2">
      <c r="A9" t="s">
        <v>106</v>
      </c>
      <c r="B9" s="4">
        <v>35065</v>
      </c>
      <c r="C9">
        <v>12</v>
      </c>
      <c r="D9">
        <v>22.3</v>
      </c>
      <c r="E9">
        <v>2.4</v>
      </c>
      <c r="F9">
        <v>10.199999999999999</v>
      </c>
      <c r="G9">
        <v>0.6</v>
      </c>
      <c r="H9">
        <v>217</v>
      </c>
      <c r="I9">
        <v>48</v>
      </c>
      <c r="J9">
        <v>113.7</v>
      </c>
      <c r="K9">
        <v>25.3</v>
      </c>
      <c r="L9">
        <v>67.400000000000006</v>
      </c>
      <c r="M9">
        <v>18.3</v>
      </c>
      <c r="N9">
        <v>11.9</v>
      </c>
      <c r="O9">
        <v>2.5</v>
      </c>
      <c r="P9">
        <v>32.74</v>
      </c>
      <c r="Q9">
        <v>6.92</v>
      </c>
      <c r="R9">
        <f>P9/N9</f>
        <v>2.7512605042016807</v>
      </c>
      <c r="S9">
        <v>0.55000000000000004</v>
      </c>
      <c r="T9">
        <v>0.03</v>
      </c>
      <c r="U9" s="6">
        <v>0.5</v>
      </c>
      <c r="V9" s="5">
        <f>$V$6/($V$7+(U9)^$V$8)</f>
        <v>1.3160231861178184</v>
      </c>
    </row>
    <row r="10" spans="1:23" x14ac:dyDescent="0.2">
      <c r="B10" t="s">
        <v>107</v>
      </c>
      <c r="C10">
        <v>8</v>
      </c>
      <c r="D10">
        <v>21.1</v>
      </c>
      <c r="E10">
        <v>2.2000000000000002</v>
      </c>
      <c r="F10">
        <v>11.3</v>
      </c>
      <c r="G10">
        <v>0.5</v>
      </c>
      <c r="H10">
        <v>232</v>
      </c>
      <c r="I10">
        <v>50</v>
      </c>
      <c r="J10">
        <v>102.8</v>
      </c>
      <c r="K10">
        <v>22.4</v>
      </c>
      <c r="L10">
        <v>43</v>
      </c>
      <c r="M10">
        <v>13.1</v>
      </c>
      <c r="N10">
        <v>11.7</v>
      </c>
      <c r="O10">
        <v>2.8</v>
      </c>
      <c r="P10">
        <v>38.340000000000003</v>
      </c>
      <c r="Q10">
        <v>9.5399999999999991</v>
      </c>
      <c r="R10">
        <f t="shared" ref="R10:R15" si="0">P10/N10</f>
        <v>3.2769230769230773</v>
      </c>
      <c r="S10">
        <v>0.52</v>
      </c>
      <c r="T10">
        <v>0.03</v>
      </c>
      <c r="U10" s="6">
        <v>1</v>
      </c>
      <c r="V10" s="5">
        <f t="shared" ref="V10:V38" si="1">$V$6/($V$7+(U10)^$V$8)</f>
        <v>1.9444444444444444</v>
      </c>
    </row>
    <row r="11" spans="1:23" x14ac:dyDescent="0.2">
      <c r="B11" s="4">
        <v>35827</v>
      </c>
      <c r="C11">
        <v>10</v>
      </c>
      <c r="D11">
        <v>19.600000000000001</v>
      </c>
      <c r="E11">
        <v>2.6</v>
      </c>
      <c r="F11">
        <v>10.9</v>
      </c>
      <c r="G11">
        <v>0.8</v>
      </c>
      <c r="H11">
        <v>201</v>
      </c>
      <c r="I11">
        <v>52</v>
      </c>
      <c r="J11">
        <v>108.7</v>
      </c>
      <c r="K11">
        <v>29.8</v>
      </c>
      <c r="L11">
        <v>33.9</v>
      </c>
      <c r="M11">
        <v>8.6999999999999993</v>
      </c>
      <c r="N11">
        <v>8.9</v>
      </c>
      <c r="O11">
        <v>1.98</v>
      </c>
      <c r="P11">
        <v>53</v>
      </c>
      <c r="Q11">
        <v>11</v>
      </c>
      <c r="R11">
        <f t="shared" si="0"/>
        <v>5.9550561797752808</v>
      </c>
      <c r="S11">
        <v>0.49</v>
      </c>
      <c r="T11">
        <v>0.03</v>
      </c>
      <c r="U11" s="6">
        <v>1.5</v>
      </c>
      <c r="V11" s="5">
        <f t="shared" si="1"/>
        <v>2.430407363483142</v>
      </c>
    </row>
    <row r="12" spans="1:23" x14ac:dyDescent="0.2">
      <c r="B12" t="s">
        <v>108</v>
      </c>
      <c r="C12">
        <v>8</v>
      </c>
      <c r="D12">
        <v>18.8</v>
      </c>
      <c r="E12">
        <v>2.4</v>
      </c>
      <c r="F12">
        <v>10.5</v>
      </c>
      <c r="G12">
        <v>0.7</v>
      </c>
      <c r="H12">
        <v>175</v>
      </c>
      <c r="I12">
        <v>43</v>
      </c>
      <c r="J12">
        <v>88</v>
      </c>
      <c r="K12">
        <v>23.2</v>
      </c>
      <c r="L12">
        <v>38.5</v>
      </c>
      <c r="M12">
        <v>13.5</v>
      </c>
      <c r="N12">
        <v>9.5</v>
      </c>
      <c r="O12">
        <v>2.5</v>
      </c>
      <c r="P12">
        <v>53.02</v>
      </c>
      <c r="Q12">
        <v>15.44</v>
      </c>
      <c r="R12">
        <f t="shared" si="0"/>
        <v>5.5810526315789479</v>
      </c>
      <c r="S12">
        <v>0.52</v>
      </c>
      <c r="T12">
        <v>0.02</v>
      </c>
      <c r="U12" s="6">
        <v>2</v>
      </c>
      <c r="V12" s="5">
        <f t="shared" si="1"/>
        <v>2.8387817120936663</v>
      </c>
    </row>
    <row r="13" spans="1:23" x14ac:dyDescent="0.2">
      <c r="B13" s="4" t="s">
        <v>109</v>
      </c>
      <c r="C13">
        <v>10</v>
      </c>
      <c r="D13">
        <v>16.100000000000001</v>
      </c>
      <c r="E13">
        <v>2.5</v>
      </c>
      <c r="F13">
        <v>9.5</v>
      </c>
      <c r="G13">
        <v>0.7</v>
      </c>
      <c r="H13">
        <v>128</v>
      </c>
      <c r="I13">
        <v>40</v>
      </c>
      <c r="J13">
        <v>79</v>
      </c>
      <c r="K13">
        <v>25.7</v>
      </c>
      <c r="L13">
        <v>35.9</v>
      </c>
      <c r="M13">
        <v>14</v>
      </c>
      <c r="N13">
        <v>6.3</v>
      </c>
      <c r="O13">
        <v>2.1</v>
      </c>
      <c r="P13">
        <v>24.89</v>
      </c>
      <c r="Q13">
        <v>8.3699999999999992</v>
      </c>
      <c r="R13">
        <f t="shared" si="0"/>
        <v>3.950793650793651</v>
      </c>
      <c r="S13">
        <v>0.48</v>
      </c>
      <c r="T13">
        <v>0.03</v>
      </c>
      <c r="U13" s="6">
        <v>2.5</v>
      </c>
      <c r="V13" s="5">
        <f t="shared" si="1"/>
        <v>3.1959580572938453</v>
      </c>
    </row>
    <row r="14" spans="1:23" x14ac:dyDescent="0.2">
      <c r="A14" t="s">
        <v>110</v>
      </c>
      <c r="B14" s="4">
        <v>35796</v>
      </c>
      <c r="C14">
        <v>10</v>
      </c>
      <c r="D14">
        <v>19.600000000000001</v>
      </c>
      <c r="E14">
        <v>2.4</v>
      </c>
      <c r="F14">
        <v>9</v>
      </c>
      <c r="G14">
        <v>0.5</v>
      </c>
      <c r="H14">
        <v>143</v>
      </c>
      <c r="I14">
        <v>38</v>
      </c>
      <c r="J14">
        <v>69.2</v>
      </c>
      <c r="K14">
        <v>19.3</v>
      </c>
      <c r="L14">
        <v>37</v>
      </c>
      <c r="M14">
        <v>11.6</v>
      </c>
      <c r="N14">
        <v>8.4</v>
      </c>
      <c r="O14">
        <v>2.4</v>
      </c>
      <c r="P14">
        <v>56.43</v>
      </c>
      <c r="Q14">
        <v>16.149999999999999</v>
      </c>
      <c r="R14">
        <f t="shared" si="0"/>
        <v>6.7178571428571425</v>
      </c>
      <c r="S14">
        <v>0.63</v>
      </c>
      <c r="T14">
        <v>0.02</v>
      </c>
      <c r="U14" s="6">
        <v>3</v>
      </c>
      <c r="V14" s="5">
        <f t="shared" si="1"/>
        <v>3.5159279860450683</v>
      </c>
    </row>
    <row r="15" spans="1:23" x14ac:dyDescent="0.2">
      <c r="A15" t="s">
        <v>111</v>
      </c>
      <c r="B15" s="4">
        <v>36251</v>
      </c>
      <c r="C15">
        <v>10</v>
      </c>
      <c r="D15">
        <v>16.2</v>
      </c>
      <c r="E15">
        <v>1.9</v>
      </c>
      <c r="F15">
        <v>6.9</v>
      </c>
      <c r="G15">
        <v>0.5</v>
      </c>
      <c r="H15">
        <v>83</v>
      </c>
      <c r="I15">
        <v>22</v>
      </c>
      <c r="J15">
        <v>45.9</v>
      </c>
      <c r="K15">
        <v>12.3</v>
      </c>
      <c r="L15">
        <v>41.1</v>
      </c>
      <c r="M15">
        <v>11</v>
      </c>
      <c r="N15">
        <v>10.4</v>
      </c>
      <c r="O15">
        <v>2.2999999999999998</v>
      </c>
      <c r="P15">
        <v>48.42</v>
      </c>
      <c r="Q15">
        <v>10.35</v>
      </c>
      <c r="R15">
        <f t="shared" si="0"/>
        <v>4.6557692307692307</v>
      </c>
      <c r="S15">
        <v>0.65</v>
      </c>
      <c r="T15">
        <v>0.02</v>
      </c>
      <c r="U15" s="6">
        <v>3.5</v>
      </c>
      <c r="V15" s="5">
        <f t="shared" si="1"/>
        <v>3.8072161970587284</v>
      </c>
    </row>
    <row r="16" spans="1:23" x14ac:dyDescent="0.2">
      <c r="A16" t="s">
        <v>112</v>
      </c>
      <c r="C16">
        <f>AVERAGE(C9:C15)</f>
        <v>9.7142857142857135</v>
      </c>
      <c r="D16">
        <f t="shared" ref="D16:T16" si="2">AVERAGE(D9:D15)</f>
        <v>19.099999999999998</v>
      </c>
      <c r="E16">
        <f t="shared" si="2"/>
        <v>2.3428571428571425</v>
      </c>
      <c r="F16">
        <f t="shared" si="2"/>
        <v>9.7571428571428562</v>
      </c>
      <c r="G16">
        <f t="shared" si="2"/>
        <v>0.61428571428571421</v>
      </c>
      <c r="H16">
        <f t="shared" si="2"/>
        <v>168.42857142857142</v>
      </c>
      <c r="I16">
        <f t="shared" si="2"/>
        <v>41.857142857142854</v>
      </c>
      <c r="J16">
        <f t="shared" si="2"/>
        <v>86.757142857142853</v>
      </c>
      <c r="K16">
        <f t="shared" si="2"/>
        <v>22.571428571428577</v>
      </c>
      <c r="L16">
        <f t="shared" si="2"/>
        <v>42.4</v>
      </c>
      <c r="M16">
        <f t="shared" si="2"/>
        <v>12.885714285714284</v>
      </c>
      <c r="N16">
        <f t="shared" si="2"/>
        <v>9.5857142857142854</v>
      </c>
      <c r="O16">
        <f t="shared" si="2"/>
        <v>2.3685714285714283</v>
      </c>
      <c r="P16">
        <f t="shared" si="2"/>
        <v>43.83428571428572</v>
      </c>
      <c r="Q16">
        <f t="shared" si="2"/>
        <v>11.109999999999998</v>
      </c>
      <c r="R16">
        <f t="shared" si="2"/>
        <v>4.6983874881284304</v>
      </c>
      <c r="S16">
        <f t="shared" si="2"/>
        <v>0.5485714285714286</v>
      </c>
      <c r="T16">
        <f t="shared" si="2"/>
        <v>2.5714285714285714E-2</v>
      </c>
      <c r="U16" s="6">
        <v>4</v>
      </c>
      <c r="V16" s="5">
        <f t="shared" si="1"/>
        <v>4.0754914407757683</v>
      </c>
    </row>
    <row r="17" spans="21:22" x14ac:dyDescent="0.2">
      <c r="U17" s="6">
        <v>4.5</v>
      </c>
      <c r="V17" s="5">
        <f t="shared" si="1"/>
        <v>4.3247586665381537</v>
      </c>
    </row>
    <row r="18" spans="21:22" x14ac:dyDescent="0.2">
      <c r="U18" s="6">
        <v>5</v>
      </c>
      <c r="V18" s="5">
        <f t="shared" si="1"/>
        <v>4.5579762756610025</v>
      </c>
    </row>
    <row r="19" spans="21:22" x14ac:dyDescent="0.2">
      <c r="U19" s="6">
        <v>5.5</v>
      </c>
      <c r="V19" s="5">
        <f t="shared" si="1"/>
        <v>4.7774056639162739</v>
      </c>
    </row>
    <row r="20" spans="21:22" x14ac:dyDescent="0.2">
      <c r="U20" s="6">
        <v>6</v>
      </c>
      <c r="V20" s="5">
        <f t="shared" si="1"/>
        <v>4.9848229724270254</v>
      </c>
    </row>
    <row r="21" spans="21:22" x14ac:dyDescent="0.2">
      <c r="U21" s="6">
        <v>6.5</v>
      </c>
      <c r="V21" s="5">
        <f t="shared" si="1"/>
        <v>5.1816543160968953</v>
      </c>
    </row>
    <row r="22" spans="21:22" x14ac:dyDescent="0.2">
      <c r="U22" s="6">
        <v>7</v>
      </c>
      <c r="V22" s="5">
        <f t="shared" si="1"/>
        <v>5.369065892300168</v>
      </c>
    </row>
    <row r="23" spans="21:22" x14ac:dyDescent="0.2">
      <c r="U23" s="6">
        <v>7.5</v>
      </c>
      <c r="V23" s="5">
        <f t="shared" si="1"/>
        <v>5.5480261629651464</v>
      </c>
    </row>
    <row r="24" spans="21:22" x14ac:dyDescent="0.2">
      <c r="U24" s="6">
        <v>8</v>
      </c>
      <c r="V24" s="5">
        <f t="shared" si="1"/>
        <v>5.7193500431318709</v>
      </c>
    </row>
    <row r="25" spans="21:22" x14ac:dyDescent="0.2">
      <c r="U25" s="6">
        <v>8.5</v>
      </c>
      <c r="V25" s="5">
        <f t="shared" si="1"/>
        <v>5.8837310969827312</v>
      </c>
    </row>
    <row r="26" spans="21:22" x14ac:dyDescent="0.2">
      <c r="U26" s="6">
        <v>9</v>
      </c>
      <c r="V26" s="5">
        <f t="shared" si="1"/>
        <v>6.0417655064646123</v>
      </c>
    </row>
    <row r="27" spans="21:22" x14ac:dyDescent="0.2">
      <c r="U27" s="6">
        <v>9.5</v>
      </c>
      <c r="V27" s="5">
        <f t="shared" si="1"/>
        <v>6.193970252616479</v>
      </c>
    </row>
    <row r="28" spans="21:22" x14ac:dyDescent="0.2">
      <c r="U28" s="6">
        <v>10</v>
      </c>
      <c r="V28" s="5">
        <f t="shared" si="1"/>
        <v>6.340797136098673</v>
      </c>
    </row>
    <row r="29" spans="21:22" x14ac:dyDescent="0.2">
      <c r="U29" s="6">
        <v>10.5</v>
      </c>
      <c r="V29" s="5">
        <f t="shared" si="1"/>
        <v>6.4826437481318147</v>
      </c>
    </row>
    <row r="30" spans="21:22" x14ac:dyDescent="0.2">
      <c r="U30" s="6">
        <v>11</v>
      </c>
      <c r="V30" s="5">
        <f t="shared" si="1"/>
        <v>6.619862167721954</v>
      </c>
    </row>
    <row r="31" spans="21:22" x14ac:dyDescent="0.2">
      <c r="U31" s="6">
        <v>11.5</v>
      </c>
      <c r="V31" s="5">
        <f t="shared" si="1"/>
        <v>6.7527659375141571</v>
      </c>
    </row>
    <row r="32" spans="21:22" x14ac:dyDescent="0.2">
      <c r="U32" s="6">
        <v>12</v>
      </c>
      <c r="V32" s="5">
        <f t="shared" si="1"/>
        <v>6.8816357183746071</v>
      </c>
    </row>
    <row r="33" spans="1:22" x14ac:dyDescent="0.2">
      <c r="U33" s="6">
        <v>12.5</v>
      </c>
      <c r="V33" s="5">
        <f t="shared" si="1"/>
        <v>7.0067239170964335</v>
      </c>
    </row>
    <row r="34" spans="1:22" x14ac:dyDescent="0.2">
      <c r="U34" s="6">
        <v>13</v>
      </c>
      <c r="V34" s="5">
        <f t="shared" si="1"/>
        <v>7.1282585069429816</v>
      </c>
    </row>
    <row r="35" spans="1:22" x14ac:dyDescent="0.2">
      <c r="U35" s="6">
        <v>13.5</v>
      </c>
      <c r="V35" s="5">
        <f t="shared" si="1"/>
        <v>7.2464462071387858</v>
      </c>
    </row>
    <row r="36" spans="1:22" x14ac:dyDescent="0.2">
      <c r="U36" s="6">
        <v>14</v>
      </c>
      <c r="V36" s="5">
        <f t="shared" si="1"/>
        <v>7.3614751483857468</v>
      </c>
    </row>
    <row r="37" spans="1:22" x14ac:dyDescent="0.2">
      <c r="A37" t="s">
        <v>140</v>
      </c>
      <c r="U37" s="6">
        <v>14.5</v>
      </c>
      <c r="V37" s="5">
        <f t="shared" si="1"/>
        <v>7.4735171226818666</v>
      </c>
    </row>
    <row r="38" spans="1:22" x14ac:dyDescent="0.2">
      <c r="A38" t="s">
        <v>133</v>
      </c>
      <c r="U38" s="6">
        <v>15</v>
      </c>
      <c r="V38" s="5">
        <f t="shared" si="1"/>
        <v>7.5827294942103993</v>
      </c>
    </row>
    <row r="41" spans="1:22" x14ac:dyDescent="0.2">
      <c r="B41" t="s">
        <v>28</v>
      </c>
      <c r="C41" t="s">
        <v>102</v>
      </c>
      <c r="D41" t="s">
        <v>141</v>
      </c>
      <c r="E41" t="s">
        <v>143</v>
      </c>
    </row>
    <row r="42" spans="1:22" x14ac:dyDescent="0.2">
      <c r="B42">
        <v>22.3</v>
      </c>
      <c r="C42">
        <v>11.9</v>
      </c>
      <c r="D42">
        <f>(((0.054/0.141)*B42^2.05)^(1/1.11))/10000</f>
        <v>1.3019498293841684E-2</v>
      </c>
      <c r="E42">
        <f>C42/(D42*10000)</f>
        <v>9.1401371477031382E-2</v>
      </c>
    </row>
    <row r="43" spans="1:22" x14ac:dyDescent="0.2">
      <c r="B43">
        <v>21.1</v>
      </c>
      <c r="C43">
        <v>11.7</v>
      </c>
      <c r="D43">
        <f t="shared" ref="D43:D48" si="3">(((0.054/0.141)*B43^2.05)^(1/1.11))/10000</f>
        <v>1.175515990021922E-2</v>
      </c>
      <c r="E43">
        <f t="shared" ref="E43:E48" si="4">C43/(D43*10000)</f>
        <v>9.9530760102904334E-2</v>
      </c>
    </row>
    <row r="44" spans="1:22" x14ac:dyDescent="0.2">
      <c r="B44">
        <v>19.600000000000001</v>
      </c>
      <c r="C44">
        <v>8.9</v>
      </c>
      <c r="D44">
        <f t="shared" si="3"/>
        <v>1.0258425641843734E-2</v>
      </c>
      <c r="E44">
        <f t="shared" si="4"/>
        <v>8.6757952055500923E-2</v>
      </c>
    </row>
    <row r="45" spans="1:22" x14ac:dyDescent="0.2">
      <c r="B45">
        <v>18.8</v>
      </c>
      <c r="C45">
        <v>9.5</v>
      </c>
      <c r="D45">
        <f t="shared" si="3"/>
        <v>9.4985228192668025E-3</v>
      </c>
      <c r="E45">
        <f t="shared" si="4"/>
        <v>0.10001555168905001</v>
      </c>
    </row>
    <row r="46" spans="1:22" x14ac:dyDescent="0.2">
      <c r="B46">
        <v>16.100000000000001</v>
      </c>
      <c r="C46">
        <v>6.3</v>
      </c>
      <c r="D46">
        <f t="shared" si="3"/>
        <v>7.1335256628916963E-3</v>
      </c>
      <c r="E46">
        <f t="shared" si="4"/>
        <v>8.8315375842444047E-2</v>
      </c>
    </row>
    <row r="47" spans="1:22" x14ac:dyDescent="0.2">
      <c r="B47">
        <v>19.600000000000001</v>
      </c>
      <c r="C47">
        <v>8.4</v>
      </c>
      <c r="D47">
        <f t="shared" si="3"/>
        <v>1.0258425641843734E-2</v>
      </c>
      <c r="E47">
        <f t="shared" si="4"/>
        <v>8.1883909805191876E-2</v>
      </c>
    </row>
    <row r="48" spans="1:22" x14ac:dyDescent="0.2">
      <c r="B48">
        <v>16.2</v>
      </c>
      <c r="C48">
        <v>10.4</v>
      </c>
      <c r="D48">
        <f t="shared" si="3"/>
        <v>7.2155701777025525E-3</v>
      </c>
      <c r="E48">
        <f t="shared" si="4"/>
        <v>0.14413275380700924</v>
      </c>
    </row>
    <row r="49" spans="5:5" x14ac:dyDescent="0.2">
      <c r="E49">
        <f>AVERAGE(E42:E48)</f>
        <v>9.8862524968447385E-2</v>
      </c>
    </row>
  </sheetData>
  <phoneticPr fontId="0" type="noConversion"/>
  <pageMargins left="0.78740157499999996" right="0.78740157499999996" top="0.984251969" bottom="0.984251969" header="0.4921259845" footer="0.4921259845"/>
  <headerFooter alignWithMargins="0"/>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6"/>
  <sheetViews>
    <sheetView workbookViewId="0">
      <selection activeCell="A18" sqref="A18"/>
    </sheetView>
  </sheetViews>
  <sheetFormatPr baseColWidth="10" defaultRowHeight="12.75" x14ac:dyDescent="0.2"/>
  <cols>
    <col min="5" max="5" width="13" style="12" bestFit="1" customWidth="1"/>
  </cols>
  <sheetData>
    <row r="1" spans="1:5" x14ac:dyDescent="0.2">
      <c r="A1" t="s">
        <v>240</v>
      </c>
      <c r="D1" s="10" t="s">
        <v>162</v>
      </c>
      <c r="E1" s="11">
        <v>7.4248473899600931E-2</v>
      </c>
    </row>
    <row r="2" spans="1:5" x14ac:dyDescent="0.2">
      <c r="A2" t="s">
        <v>241</v>
      </c>
      <c r="D2" s="10" t="s">
        <v>163</v>
      </c>
      <c r="E2" s="11">
        <v>0.2552404259281979</v>
      </c>
    </row>
    <row r="5" spans="1:5" x14ac:dyDescent="0.2">
      <c r="B5" t="s">
        <v>161</v>
      </c>
      <c r="C5" t="s">
        <v>10</v>
      </c>
      <c r="D5" t="s">
        <v>164</v>
      </c>
      <c r="E5" s="12" t="s">
        <v>165</v>
      </c>
    </row>
    <row r="6" spans="1:5" x14ac:dyDescent="0.2">
      <c r="B6">
        <v>1</v>
      </c>
      <c r="C6">
        <f>0.067*POWER(B6,1.661)</f>
        <v>6.7000000000000004E-2</v>
      </c>
      <c r="D6">
        <f>PI()*($E$1*B6+$E$2)*($E$1*B6+$E$2)</f>
        <v>0.3410605193928834</v>
      </c>
      <c r="E6" s="12">
        <f>(C6-D6)*(C6-D6)</f>
        <v>7.5109168289897013E-2</v>
      </c>
    </row>
    <row r="7" spans="1:5" x14ac:dyDescent="0.2">
      <c r="B7">
        <v>2</v>
      </c>
      <c r="C7">
        <f t="shared" ref="C7:C34" si="0">0.067*POWER(B7,1.661)</f>
        <v>0.21187788324985701</v>
      </c>
      <c r="D7">
        <f t="shared" ref="D7:D35" si="1">PI()*($E$1*B7+$E$2)*($E$1*B7+$E$2)</f>
        <v>0.51209175089893488</v>
      </c>
      <c r="E7" s="12">
        <f t="shared" ref="E7:E35" si="2">(C7-D7)*(C7-D7)</f>
        <v>9.0128366328818044E-2</v>
      </c>
    </row>
    <row r="8" spans="1:5" x14ac:dyDescent="0.2">
      <c r="B8">
        <v>3</v>
      </c>
      <c r="C8">
        <f t="shared" si="0"/>
        <v>0.41550208439139025</v>
      </c>
      <c r="D8">
        <f t="shared" si="1"/>
        <v>0.71776115178459932</v>
      </c>
      <c r="E8" s="12">
        <f t="shared" si="2"/>
        <v>9.1360543821412496E-2</v>
      </c>
    </row>
    <row r="9" spans="1:5" x14ac:dyDescent="0.2">
      <c r="B9">
        <v>4</v>
      </c>
      <c r="C9">
        <f t="shared" si="0"/>
        <v>0.67003339418567209</v>
      </c>
      <c r="D9">
        <f t="shared" si="1"/>
        <v>0.95806872204987681</v>
      </c>
      <c r="E9" s="12">
        <f t="shared" si="2"/>
        <v>8.2964350097839909E-2</v>
      </c>
    </row>
    <row r="10" spans="1:5" x14ac:dyDescent="0.2">
      <c r="B10">
        <v>5</v>
      </c>
      <c r="C10">
        <f t="shared" si="0"/>
        <v>0.97065295250108574</v>
      </c>
      <c r="D10">
        <f t="shared" si="1"/>
        <v>1.2330144616947667</v>
      </c>
      <c r="E10" s="12">
        <f t="shared" si="2"/>
        <v>6.8833561506385935E-2</v>
      </c>
    </row>
    <row r="11" spans="1:5" x14ac:dyDescent="0.2">
      <c r="B11">
        <v>6</v>
      </c>
      <c r="C11">
        <f t="shared" si="0"/>
        <v>1.3139657033843459</v>
      </c>
      <c r="D11">
        <f t="shared" si="1"/>
        <v>1.5425983707192696</v>
      </c>
      <c r="E11" s="12">
        <f t="shared" si="2"/>
        <v>5.2272896572681894E-2</v>
      </c>
    </row>
    <row r="12" spans="1:5" x14ac:dyDescent="0.2">
      <c r="B12">
        <v>7</v>
      </c>
      <c r="C12">
        <f t="shared" si="0"/>
        <v>1.6973939393359359</v>
      </c>
      <c r="D12">
        <f t="shared" si="1"/>
        <v>1.886820449123386</v>
      </c>
      <c r="E12" s="12">
        <f t="shared" si="2"/>
        <v>3.5882402610254938E-2</v>
      </c>
    </row>
    <row r="13" spans="1:5" x14ac:dyDescent="0.2">
      <c r="B13">
        <v>8</v>
      </c>
      <c r="C13">
        <f t="shared" si="0"/>
        <v>2.1188844368175705</v>
      </c>
      <c r="D13">
        <f t="shared" si="1"/>
        <v>2.2656806969071148</v>
      </c>
      <c r="E13" s="12">
        <f t="shared" si="2"/>
        <v>2.1549141976277129E-2</v>
      </c>
    </row>
    <row r="14" spans="1:5" x14ac:dyDescent="0.2">
      <c r="B14">
        <v>9</v>
      </c>
      <c r="C14">
        <f t="shared" si="0"/>
        <v>2.5767460019938802</v>
      </c>
      <c r="D14">
        <f t="shared" si="1"/>
        <v>2.6791791140704571</v>
      </c>
      <c r="E14" s="12">
        <f t="shared" si="2"/>
        <v>1.0492542449692565E-2</v>
      </c>
    </row>
    <row r="15" spans="1:5" x14ac:dyDescent="0.2">
      <c r="B15">
        <v>10</v>
      </c>
      <c r="C15">
        <f t="shared" si="0"/>
        <v>3.0695506409873756</v>
      </c>
      <c r="D15">
        <f t="shared" si="1"/>
        <v>3.1273157006134107</v>
      </c>
      <c r="E15" s="12">
        <f t="shared" si="2"/>
        <v>3.3368021135993862E-3</v>
      </c>
    </row>
    <row r="16" spans="1:5" x14ac:dyDescent="0.2">
      <c r="B16">
        <v>11</v>
      </c>
      <c r="C16">
        <f t="shared" si="0"/>
        <v>3.5960693024833006</v>
      </c>
      <c r="D16">
        <f t="shared" si="1"/>
        <v>3.6100904565359784</v>
      </c>
      <c r="E16" s="12">
        <f t="shared" si="2"/>
        <v>1.9659276096892271E-4</v>
      </c>
    </row>
    <row r="17" spans="2:5" x14ac:dyDescent="0.2">
      <c r="B17">
        <v>12</v>
      </c>
      <c r="C17">
        <f t="shared" si="0"/>
        <v>4.15522793874604</v>
      </c>
      <c r="D17">
        <f t="shared" si="1"/>
        <v>4.1275033818381592</v>
      </c>
      <c r="E17" s="12">
        <f t="shared" si="2"/>
        <v>7.6865105573831996E-4</v>
      </c>
    </row>
    <row r="18" spans="2:5" x14ac:dyDescent="0.2">
      <c r="B18">
        <v>13</v>
      </c>
      <c r="C18">
        <f t="shared" si="0"/>
        <v>4.7460762457615253</v>
      </c>
      <c r="D18">
        <f t="shared" si="1"/>
        <v>4.6795544765199528</v>
      </c>
      <c r="E18" s="12">
        <f t="shared" si="2"/>
        <v>4.4251457830290202E-3</v>
      </c>
    </row>
    <row r="19" spans="2:5" x14ac:dyDescent="0.2">
      <c r="B19">
        <v>14</v>
      </c>
      <c r="C19">
        <f t="shared" si="0"/>
        <v>5.3677647001139457</v>
      </c>
      <c r="D19">
        <f t="shared" si="1"/>
        <v>5.2662437405813574</v>
      </c>
      <c r="E19" s="12">
        <f t="shared" si="2"/>
        <v>1.0306505224417437E-2</v>
      </c>
    </row>
    <row r="20" spans="2:5" x14ac:dyDescent="0.2">
      <c r="B20">
        <v>15</v>
      </c>
      <c r="C20">
        <f t="shared" si="0"/>
        <v>6.0195272385799736</v>
      </c>
      <c r="D20">
        <f t="shared" si="1"/>
        <v>5.8875711740223773</v>
      </c>
      <c r="E20" s="12">
        <f t="shared" si="2"/>
        <v>1.7412402973528533E-2</v>
      </c>
    </row>
    <row r="21" spans="2:5" x14ac:dyDescent="0.2">
      <c r="B21">
        <v>16</v>
      </c>
      <c r="C21">
        <f t="shared" si="0"/>
        <v>6.7006679003577947</v>
      </c>
      <c r="D21">
        <f t="shared" si="1"/>
        <v>6.5435367768430099</v>
      </c>
      <c r="E21" s="12">
        <f t="shared" si="2"/>
        <v>2.4690189977018544E-2</v>
      </c>
    </row>
    <row r="22" spans="2:5" x14ac:dyDescent="0.2">
      <c r="B22">
        <v>17</v>
      </c>
      <c r="C22">
        <f t="shared" si="0"/>
        <v>7.4105503283694976</v>
      </c>
      <c r="D22">
        <f t="shared" si="1"/>
        <v>7.2341405490432553</v>
      </c>
      <c r="E22" s="12">
        <f t="shared" si="2"/>
        <v>3.1120410241933485E-2</v>
      </c>
    </row>
    <row r="23" spans="2:5" x14ac:dyDescent="0.2">
      <c r="B23">
        <v>18</v>
      </c>
      <c r="C23">
        <f t="shared" si="0"/>
        <v>8.1485893817163362</v>
      </c>
      <c r="D23">
        <f t="shared" si="1"/>
        <v>7.9593824906231125</v>
      </c>
      <c r="E23" s="12">
        <f t="shared" si="2"/>
        <v>3.5799247637162988E-2</v>
      </c>
    </row>
    <row r="24" spans="2:5" x14ac:dyDescent="0.2">
      <c r="B24">
        <v>19</v>
      </c>
      <c r="C24">
        <f t="shared" si="0"/>
        <v>8.9142443385839059</v>
      </c>
      <c r="D24">
        <f t="shared" si="1"/>
        <v>8.7192626015825816</v>
      </c>
      <c r="E24" s="12">
        <f t="shared" si="2"/>
        <v>3.8017877764053583E-2</v>
      </c>
    </row>
    <row r="25" spans="2:5" x14ac:dyDescent="0.2">
      <c r="B25">
        <v>20</v>
      </c>
      <c r="C25">
        <f t="shared" si="0"/>
        <v>9.7070133185171148</v>
      </c>
      <c r="D25">
        <f t="shared" si="1"/>
        <v>9.5137808819216669</v>
      </c>
      <c r="E25" s="12">
        <f t="shared" si="2"/>
        <v>3.7338774552613779E-2</v>
      </c>
    </row>
    <row r="26" spans="2:5" x14ac:dyDescent="0.2">
      <c r="B26">
        <v>21</v>
      </c>
      <c r="C26">
        <f t="shared" si="0"/>
        <v>10.526428654140215</v>
      </c>
      <c r="D26">
        <f t="shared" si="1"/>
        <v>10.342937331640364</v>
      </c>
      <c r="E26" s="12">
        <f t="shared" si="2"/>
        <v>3.366906543274429E-2</v>
      </c>
    </row>
    <row r="27" spans="2:5" x14ac:dyDescent="0.2">
      <c r="B27">
        <v>22</v>
      </c>
      <c r="C27">
        <f t="shared" si="0"/>
        <v>11.372053012387338</v>
      </c>
      <c r="D27">
        <f t="shared" si="1"/>
        <v>11.206731950738671</v>
      </c>
      <c r="E27" s="12">
        <f t="shared" si="2"/>
        <v>2.7331053424642392E-2</v>
      </c>
    </row>
    <row r="28" spans="2:5" x14ac:dyDescent="0.2">
      <c r="B28">
        <v>23</v>
      </c>
      <c r="C28">
        <f>0.067*POWER(B28,1.661)</f>
        <v>12.243476114739947</v>
      </c>
      <c r="D28">
        <f t="shared" si="1"/>
        <v>12.105164739216594</v>
      </c>
      <c r="E28" s="12">
        <f t="shared" si="2"/>
        <v>1.913003659916189E-2</v>
      </c>
    </row>
    <row r="29" spans="2:5" x14ac:dyDescent="0.2">
      <c r="B29">
        <v>24</v>
      </c>
      <c r="C29">
        <f t="shared" si="0"/>
        <v>13.14031194152504</v>
      </c>
      <c r="D29">
        <f t="shared" si="1"/>
        <v>13.038235697074127</v>
      </c>
      <c r="E29" s="12">
        <f t="shared" si="2"/>
        <v>1.0419559681202572E-2</v>
      </c>
    </row>
    <row r="30" spans="2:5" x14ac:dyDescent="0.2">
      <c r="B30">
        <v>25</v>
      </c>
      <c r="C30">
        <f t="shared" si="0"/>
        <v>14.062196331329478</v>
      </c>
      <c r="D30">
        <f t="shared" si="1"/>
        <v>14.005944824311277</v>
      </c>
      <c r="E30" s="12">
        <f t="shared" si="2"/>
        <v>3.1642320418187445E-3</v>
      </c>
    </row>
    <row r="31" spans="2:5" x14ac:dyDescent="0.2">
      <c r="B31">
        <v>26</v>
      </c>
      <c r="C31">
        <f t="shared" si="0"/>
        <v>15.008784905886275</v>
      </c>
      <c r="D31">
        <f t="shared" si="1"/>
        <v>15.008292120928036</v>
      </c>
      <c r="E31" s="12">
        <f t="shared" si="2"/>
        <v>2.428370150659683E-7</v>
      </c>
    </row>
    <row r="32" spans="2:5" x14ac:dyDescent="0.2">
      <c r="B32">
        <v>27</v>
      </c>
      <c r="C32">
        <f t="shared" si="0"/>
        <v>15.979751265308019</v>
      </c>
      <c r="D32">
        <f t="shared" si="1"/>
        <v>16.045277586924406</v>
      </c>
      <c r="E32" s="12">
        <f t="shared" si="2"/>
        <v>4.2936988245741931E-3</v>
      </c>
    </row>
    <row r="33" spans="2:5" x14ac:dyDescent="0.2">
      <c r="B33">
        <v>28</v>
      </c>
      <c r="C33">
        <f t="shared" si="0"/>
        <v>16.97478540960368</v>
      </c>
      <c r="D33">
        <f t="shared" si="1"/>
        <v>17.116901222300392</v>
      </c>
      <c r="E33" s="12">
        <f t="shared" si="2"/>
        <v>2.0196904218446967E-2</v>
      </c>
    </row>
    <row r="34" spans="2:5" x14ac:dyDescent="0.2">
      <c r="B34">
        <v>29</v>
      </c>
      <c r="C34">
        <f t="shared" si="0"/>
        <v>17.993592350933369</v>
      </c>
      <c r="D34">
        <f t="shared" si="1"/>
        <v>18.223163027055996</v>
      </c>
      <c r="E34" s="12">
        <f t="shared" si="2"/>
        <v>5.2702695335400125E-2</v>
      </c>
    </row>
    <row r="35" spans="2:5" x14ac:dyDescent="0.2">
      <c r="B35">
        <v>30</v>
      </c>
      <c r="C35">
        <f>0.067*POWER(B35,1.661)</f>
        <v>19.035890887689288</v>
      </c>
      <c r="D35">
        <f t="shared" si="1"/>
        <v>19.364063001191205</v>
      </c>
      <c r="E35" s="12">
        <f t="shared" si="2"/>
        <v>0.10769693608031546</v>
      </c>
    </row>
    <row r="36" spans="2:5" x14ac:dyDescent="0.2">
      <c r="E36" s="12">
        <f>SUM(E6:E35)</f>
        <v>1.0106099982126457</v>
      </c>
    </row>
  </sheetData>
  <phoneticPr fontId="2" type="noConversion"/>
  <pageMargins left="0.78740157499999996" right="0.78740157499999996" top="0.984251969" bottom="0.984251969" header="0.4921259845" footer="0.4921259845"/>
  <headerFooter alignWithMargins="0"/>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3"/>
  <sheetViews>
    <sheetView workbookViewId="0">
      <selection activeCell="I34" sqref="I34"/>
    </sheetView>
  </sheetViews>
  <sheetFormatPr baseColWidth="10" defaultRowHeight="12.75" x14ac:dyDescent="0.2"/>
  <cols>
    <col min="5" max="5" width="16.5703125" customWidth="1"/>
    <col min="7" max="7" width="12.42578125" bestFit="1" customWidth="1"/>
  </cols>
  <sheetData>
    <row r="5" spans="1:7" x14ac:dyDescent="0.2">
      <c r="A5" t="s">
        <v>250</v>
      </c>
      <c r="B5" t="s">
        <v>251</v>
      </c>
      <c r="C5" t="s">
        <v>248</v>
      </c>
      <c r="D5" t="s">
        <v>249</v>
      </c>
      <c r="E5" t="s">
        <v>252</v>
      </c>
      <c r="F5" t="s">
        <v>249</v>
      </c>
    </row>
    <row r="6" spans="1:7" x14ac:dyDescent="0.2">
      <c r="A6">
        <v>1</v>
      </c>
      <c r="B6">
        <f>A6*10000</f>
        <v>10000</v>
      </c>
      <c r="C6">
        <f>0.141*POWER(A6, 1.11)</f>
        <v>0.14099999999999999</v>
      </c>
      <c r="D6">
        <f>C6*10000*22.75/1000000</f>
        <v>3.2077499999999995E-2</v>
      </c>
      <c r="E6">
        <f>D6/B6</f>
        <v>3.2077499999999995E-6</v>
      </c>
      <c r="F6">
        <f>C6*'lo-04_allometry'!$J$34</f>
        <v>2.9451130859423972E-2</v>
      </c>
      <c r="G6">
        <f>F6/B6</f>
        <v>2.9451130859423973E-6</v>
      </c>
    </row>
    <row r="7" spans="1:7" x14ac:dyDescent="0.2">
      <c r="A7">
        <v>2</v>
      </c>
      <c r="B7">
        <f t="shared" ref="B7:B32" si="0">A7*10000</f>
        <v>20000</v>
      </c>
      <c r="C7">
        <f>0.141*POWER(A7, 1.11)</f>
        <v>0.30434236269424847</v>
      </c>
      <c r="D7">
        <f t="shared" ref="D7:D32" si="1">C7*10000*22.75/1000000</f>
        <v>6.9237887512941521E-2</v>
      </c>
      <c r="E7">
        <f t="shared" ref="E7:E32" si="2">D7/B7</f>
        <v>3.4618943756470759E-6</v>
      </c>
      <c r="F7">
        <f>C7*'lo-04_allometry'!$J$34</f>
        <v>6.3568984040954513E-2</v>
      </c>
      <c r="G7">
        <f t="shared" ref="G7:G32" si="3">F7/B7</f>
        <v>3.1784492020477255E-6</v>
      </c>
    </row>
    <row r="8" spans="1:7" x14ac:dyDescent="0.2">
      <c r="A8">
        <v>3</v>
      </c>
      <c r="B8">
        <f t="shared" si="0"/>
        <v>30000</v>
      </c>
      <c r="C8">
        <f t="shared" ref="C8:C32" si="4">0.141*POWER(A8, 1.11)</f>
        <v>0.47733546794761222</v>
      </c>
      <c r="D8">
        <f t="shared" si="1"/>
        <v>0.10859381895808179</v>
      </c>
      <c r="E8">
        <f t="shared" si="2"/>
        <v>3.619793965269393E-6</v>
      </c>
      <c r="F8">
        <f>C8*'lo-04_allometry'!$J$34</f>
        <v>9.9702619364322745E-2</v>
      </c>
      <c r="G8">
        <f t="shared" si="3"/>
        <v>3.3234206454774247E-6</v>
      </c>
    </row>
    <row r="9" spans="1:7" x14ac:dyDescent="0.2">
      <c r="A9">
        <v>4</v>
      </c>
      <c r="B9">
        <f t="shared" si="0"/>
        <v>40000</v>
      </c>
      <c r="C9">
        <f t="shared" si="4"/>
        <v>0.65690974276820902</v>
      </c>
      <c r="D9">
        <f t="shared" si="1"/>
        <v>0.14944696647976755</v>
      </c>
      <c r="E9">
        <f t="shared" si="2"/>
        <v>3.7361741619941885E-6</v>
      </c>
      <c r="F9">
        <f>C9*'lo-04_allometry'!$J$34</f>
        <v>0.13721088508579479</v>
      </c>
      <c r="G9">
        <f t="shared" si="3"/>
        <v>3.43027212714487E-6</v>
      </c>
    </row>
    <row r="10" spans="1:7" x14ac:dyDescent="0.2">
      <c r="A10">
        <v>5</v>
      </c>
      <c r="B10">
        <f t="shared" si="0"/>
        <v>50000</v>
      </c>
      <c r="C10">
        <f t="shared" si="4"/>
        <v>0.84154204201080851</v>
      </c>
      <c r="D10">
        <f t="shared" si="1"/>
        <v>0.19145081455745891</v>
      </c>
      <c r="E10">
        <f t="shared" si="2"/>
        <v>3.8290162911491786E-6</v>
      </c>
      <c r="F10">
        <f>C10*'lo-04_allometry'!$J$34</f>
        <v>0.17577563690047654</v>
      </c>
      <c r="G10">
        <f t="shared" si="3"/>
        <v>3.5155127380095307E-6</v>
      </c>
    </row>
    <row r="11" spans="1:7" x14ac:dyDescent="0.2">
      <c r="A11">
        <v>6</v>
      </c>
      <c r="B11">
        <f t="shared" si="0"/>
        <v>60000</v>
      </c>
      <c r="C11">
        <f t="shared" si="4"/>
        <v>1.0303078305882341</v>
      </c>
      <c r="D11">
        <f t="shared" si="1"/>
        <v>0.23439503145882323</v>
      </c>
      <c r="E11">
        <f t="shared" si="2"/>
        <v>3.9065838576470538E-6</v>
      </c>
      <c r="F11">
        <f>C11*'lo-04_allometry'!$J$34</f>
        <v>0.21520376414286035</v>
      </c>
      <c r="G11">
        <f t="shared" si="3"/>
        <v>3.586729402381006E-6</v>
      </c>
    </row>
    <row r="12" spans="1:7" x14ac:dyDescent="0.2">
      <c r="A12">
        <v>7</v>
      </c>
      <c r="B12">
        <f t="shared" si="0"/>
        <v>70000</v>
      </c>
      <c r="C12">
        <f t="shared" si="4"/>
        <v>1.2225818301410576</v>
      </c>
      <c r="D12">
        <f t="shared" si="1"/>
        <v>0.27813736635709058</v>
      </c>
      <c r="E12">
        <f t="shared" si="2"/>
        <v>3.9733909479584367E-6</v>
      </c>
      <c r="F12">
        <f>C12*'lo-04_allometry'!$J$34</f>
        <v>0.25536466287828613</v>
      </c>
      <c r="G12">
        <f t="shared" si="3"/>
        <v>3.6480666125469447E-6</v>
      </c>
    </row>
    <row r="13" spans="1:7" x14ac:dyDescent="0.2">
      <c r="A13">
        <v>8</v>
      </c>
      <c r="B13">
        <f t="shared" si="0"/>
        <v>80000</v>
      </c>
      <c r="C13">
        <f t="shared" si="4"/>
        <v>1.4179110864606226</v>
      </c>
      <c r="D13">
        <f t="shared" si="1"/>
        <v>0.32257477216979163</v>
      </c>
      <c r="E13">
        <f t="shared" si="2"/>
        <v>4.0321846521223953E-6</v>
      </c>
      <c r="F13">
        <f>C13*'lo-04_allometry'!$J$34</f>
        <v>0.29616372308070793</v>
      </c>
      <c r="G13">
        <f t="shared" si="3"/>
        <v>3.702046538508849E-6</v>
      </c>
    </row>
    <row r="14" spans="1:7" x14ac:dyDescent="0.2">
      <c r="A14">
        <v>9</v>
      </c>
      <c r="B14">
        <f t="shared" si="0"/>
        <v>90000</v>
      </c>
      <c r="C14">
        <f t="shared" si="4"/>
        <v>1.6159514110692621</v>
      </c>
      <c r="D14">
        <f t="shared" si="1"/>
        <v>0.36762894601825713</v>
      </c>
      <c r="E14">
        <f t="shared" si="2"/>
        <v>4.084766066869524E-6</v>
      </c>
      <c r="F14">
        <f>C14*'lo-04_allometry'!$J$34</f>
        <v>0.33752905297781322</v>
      </c>
      <c r="G14">
        <f t="shared" si="3"/>
        <v>3.7503228108645914E-6</v>
      </c>
    </row>
    <row r="15" spans="1:7" x14ac:dyDescent="0.2">
      <c r="A15">
        <v>10</v>
      </c>
      <c r="B15">
        <f t="shared" si="0"/>
        <v>100000</v>
      </c>
      <c r="C15">
        <f t="shared" si="4"/>
        <v>1.8164318678873197</v>
      </c>
      <c r="D15">
        <f t="shared" si="1"/>
        <v>0.41323824994436525</v>
      </c>
      <c r="E15">
        <f t="shared" si="2"/>
        <v>4.1323824994436527E-6</v>
      </c>
      <c r="F15">
        <f>C15*'lo-04_allometry'!$J$34</f>
        <v>0.3794040612650878</v>
      </c>
      <c r="G15">
        <f t="shared" si="3"/>
        <v>3.7940406126508779E-6</v>
      </c>
    </row>
    <row r="16" spans="1:7" x14ac:dyDescent="0.2">
      <c r="A16">
        <v>11</v>
      </c>
      <c r="B16">
        <f t="shared" si="0"/>
        <v>110000</v>
      </c>
      <c r="C16">
        <f t="shared" si="4"/>
        <v>2.0191333086163969</v>
      </c>
      <c r="D16">
        <f t="shared" si="1"/>
        <v>0.45935282771023034</v>
      </c>
      <c r="E16">
        <f t="shared" si="2"/>
        <v>4.1759347973657302E-6</v>
      </c>
      <c r="F16">
        <f>C16*'lo-04_allometry'!$J$34</f>
        <v>0.42174297372115749</v>
      </c>
      <c r="G16">
        <f t="shared" si="3"/>
        <v>3.8340270338287042E-6</v>
      </c>
    </row>
    <row r="17" spans="1:7" x14ac:dyDescent="0.2">
      <c r="A17">
        <v>12</v>
      </c>
      <c r="B17">
        <f t="shared" si="0"/>
        <v>120000</v>
      </c>
      <c r="C17">
        <f t="shared" si="4"/>
        <v>2.223874606124884</v>
      </c>
      <c r="D17">
        <f t="shared" si="1"/>
        <v>0.50593147289341112</v>
      </c>
      <c r="E17">
        <f t="shared" si="2"/>
        <v>4.216095607445093E-6</v>
      </c>
      <c r="F17">
        <f>C17*'lo-04_allometry'!$J$34</f>
        <v>0.46450795773002773</v>
      </c>
      <c r="G17">
        <f t="shared" si="3"/>
        <v>3.8708996477502312E-6</v>
      </c>
    </row>
    <row r="18" spans="1:7" x14ac:dyDescent="0.2">
      <c r="A18">
        <v>13</v>
      </c>
      <c r="B18">
        <f t="shared" si="0"/>
        <v>130000</v>
      </c>
      <c r="C18">
        <f t="shared" si="4"/>
        <v>2.4305034043428844</v>
      </c>
      <c r="D18">
        <f t="shared" si="1"/>
        <v>0.55293952448800621</v>
      </c>
      <c r="E18">
        <f t="shared" si="2"/>
        <v>4.2533809576000475E-6</v>
      </c>
      <c r="F18">
        <f>C18*'lo-04_allometry'!$J$34</f>
        <v>0.50766719018140249</v>
      </c>
      <c r="G18">
        <f t="shared" si="3"/>
        <v>3.9051322321646345E-6</v>
      </c>
    </row>
    <row r="19" spans="1:7" x14ac:dyDescent="0.2">
      <c r="A19">
        <v>14</v>
      </c>
      <c r="B19">
        <f t="shared" si="0"/>
        <v>140000</v>
      </c>
      <c r="C19">
        <f t="shared" si="4"/>
        <v>2.6388896650509772</v>
      </c>
      <c r="D19">
        <f t="shared" si="1"/>
        <v>0.60034739879909726</v>
      </c>
      <c r="E19">
        <f t="shared" si="2"/>
        <v>4.2881957057078373E-6</v>
      </c>
      <c r="F19">
        <f>C19*'lo-04_allometry'!$J$34</f>
        <v>0.55119350956736057</v>
      </c>
      <c r="G19">
        <f t="shared" si="3"/>
        <v>3.9370964969097184E-6</v>
      </c>
    </row>
    <row r="20" spans="1:7" x14ac:dyDescent="0.2">
      <c r="A20">
        <v>15</v>
      </c>
      <c r="B20">
        <f t="shared" si="0"/>
        <v>150000</v>
      </c>
      <c r="C20">
        <f t="shared" si="4"/>
        <v>2.848921024261124</v>
      </c>
      <c r="D20">
        <f t="shared" si="1"/>
        <v>0.64812953301940568</v>
      </c>
      <c r="E20">
        <f t="shared" si="2"/>
        <v>4.3208635534627043E-6</v>
      </c>
      <c r="F20">
        <f>C20*'lo-04_allometry'!$J$34</f>
        <v>0.59506344605445782</v>
      </c>
      <c r="G20">
        <f t="shared" si="3"/>
        <v>3.9670896403630521E-6</v>
      </c>
    </row>
    <row r="21" spans="1:7" x14ac:dyDescent="0.2">
      <c r="A21">
        <v>16</v>
      </c>
      <c r="B21">
        <f t="shared" si="0"/>
        <v>160000</v>
      </c>
      <c r="C21">
        <f t="shared" si="4"/>
        <v>3.0604993627219477</v>
      </c>
      <c r="D21">
        <f t="shared" si="1"/>
        <v>0.69626360501924311</v>
      </c>
      <c r="E21">
        <f t="shared" si="2"/>
        <v>4.3516475313702691E-6</v>
      </c>
      <c r="F21">
        <f>C21*'lo-04_allometry'!$J$34</f>
        <v>0.63925650515395582</v>
      </c>
      <c r="G21">
        <f t="shared" si="3"/>
        <v>3.9953531572122242E-6</v>
      </c>
    </row>
    <row r="22" spans="1:7" x14ac:dyDescent="0.2">
      <c r="A22">
        <v>17</v>
      </c>
      <c r="B22">
        <f t="shared" si="0"/>
        <v>170000</v>
      </c>
      <c r="C22">
        <f t="shared" si="4"/>
        <v>3.2735382163695856</v>
      </c>
      <c r="D22">
        <f t="shared" si="1"/>
        <v>0.74472994422408079</v>
      </c>
      <c r="E22">
        <f t="shared" si="2"/>
        <v>4.3807643777887108E-6</v>
      </c>
      <c r="F22">
        <f>C22*'lo-04_allometry'!$J$34</f>
        <v>0.68375462683422716</v>
      </c>
      <c r="G22">
        <f t="shared" si="3"/>
        <v>4.0220860402013365E-6</v>
      </c>
    </row>
    <row r="23" spans="1:7" x14ac:dyDescent="0.2">
      <c r="A23">
        <v>18</v>
      </c>
      <c r="B23">
        <f t="shared" si="0"/>
        <v>180000</v>
      </c>
      <c r="C23">
        <f t="shared" si="4"/>
        <v>3.4879607832902391</v>
      </c>
      <c r="D23">
        <f t="shared" si="1"/>
        <v>0.79351107819852928</v>
      </c>
      <c r="E23">
        <f t="shared" si="2"/>
        <v>4.408394878880718E-6</v>
      </c>
      <c r="F23">
        <f>C23*'lo-04_allometry'!$J$34</f>
        <v>0.72854176922850911</v>
      </c>
      <c r="G23">
        <f t="shared" si="3"/>
        <v>4.0474542734917173E-6</v>
      </c>
    </row>
    <row r="24" spans="1:7" x14ac:dyDescent="0.2">
      <c r="A24">
        <v>19</v>
      </c>
      <c r="B24">
        <f t="shared" si="0"/>
        <v>190000</v>
      </c>
      <c r="C24">
        <f t="shared" si="4"/>
        <v>3.7036983640298415</v>
      </c>
      <c r="D24">
        <f t="shared" si="1"/>
        <v>0.84259137781678894</v>
      </c>
      <c r="E24">
        <f t="shared" si="2"/>
        <v>4.4346914621936256E-6</v>
      </c>
      <c r="F24">
        <f>C24*'lo-04_allometry'!$J$34</f>
        <v>0.77360358285728625</v>
      </c>
      <c r="G24">
        <f t="shared" si="3"/>
        <v>4.0715978045120333E-6</v>
      </c>
    </row>
    <row r="25" spans="1:7" x14ac:dyDescent="0.2">
      <c r="A25">
        <v>20</v>
      </c>
      <c r="B25">
        <f t="shared" si="0"/>
        <v>200000</v>
      </c>
      <c r="C25">
        <f t="shared" si="4"/>
        <v>3.9206891230209471</v>
      </c>
      <c r="D25">
        <f t="shared" si="1"/>
        <v>0.89195677548726549</v>
      </c>
      <c r="E25">
        <f t="shared" si="2"/>
        <v>4.4597838774363278E-6</v>
      </c>
      <c r="F25">
        <f>C25*'lo-04_allometry'!$J$34</f>
        <v>0.8189271519234762</v>
      </c>
      <c r="G25">
        <f t="shared" si="3"/>
        <v>4.0946357596173807E-6</v>
      </c>
    </row>
    <row r="26" spans="1:7" x14ac:dyDescent="0.2">
      <c r="A26">
        <v>21</v>
      </c>
      <c r="B26">
        <f t="shared" si="0"/>
        <v>210000</v>
      </c>
      <c r="C26">
        <f t="shared" si="4"/>
        <v>4.1388770921604943</v>
      </c>
      <c r="D26">
        <f t="shared" si="1"/>
        <v>0.94159453846651242</v>
      </c>
      <c r="E26">
        <f t="shared" si="2"/>
        <v>4.4837835165072017E-6</v>
      </c>
      <c r="F26">
        <f>C26*'lo-04_allometry'!$J$34</f>
        <v>0.86450078618646031</v>
      </c>
      <c r="G26">
        <f t="shared" si="3"/>
        <v>4.1166704104117155E-6</v>
      </c>
    </row>
    <row r="27" spans="1:7" x14ac:dyDescent="0.2">
      <c r="A27">
        <v>22</v>
      </c>
      <c r="B27">
        <f t="shared" si="0"/>
        <v>220000</v>
      </c>
      <c r="C27">
        <f t="shared" si="4"/>
        <v>4.3582113598508485</v>
      </c>
      <c r="D27">
        <f t="shared" si="1"/>
        <v>0.99149308436606798</v>
      </c>
      <c r="E27">
        <f t="shared" si="2"/>
        <v>4.5067867471184907E-6</v>
      </c>
      <c r="F27">
        <f>C27*'lo-04_allometry'!$J$34</f>
        <v>0.91031385157443589</v>
      </c>
      <c r="G27">
        <f t="shared" si="3"/>
        <v>4.1377902344292538E-6</v>
      </c>
    </row>
    <row r="28" spans="1:7" x14ac:dyDescent="0.2">
      <c r="A28">
        <v>23</v>
      </c>
      <c r="B28">
        <f t="shared" si="0"/>
        <v>230000</v>
      </c>
      <c r="C28">
        <f t="shared" si="4"/>
        <v>4.5786454040763145</v>
      </c>
      <c r="D28">
        <f t="shared" si="1"/>
        <v>1.0416418294273615</v>
      </c>
      <c r="E28">
        <f t="shared" si="2"/>
        <v>4.5288775192493981E-6</v>
      </c>
      <c r="F28">
        <f>C28*'lo-04_allometry'!$J$34</f>
        <v>0.95635663088192702</v>
      </c>
      <c r="G28">
        <f t="shared" si="3"/>
        <v>4.1580723081822916E-6</v>
      </c>
    </row>
    <row r="29" spans="1:7" x14ac:dyDescent="0.2">
      <c r="A29">
        <v>24</v>
      </c>
      <c r="B29">
        <f t="shared" si="0"/>
        <v>240000</v>
      </c>
      <c r="C29">
        <f t="shared" si="4"/>
        <v>4.8001365387502739</v>
      </c>
      <c r="D29">
        <f t="shared" si="1"/>
        <v>1.0920310625656873</v>
      </c>
      <c r="E29">
        <f t="shared" si="2"/>
        <v>4.5501294273570303E-6</v>
      </c>
      <c r="F29">
        <f>C29*'lo-04_allometry'!$J$34</f>
        <v>1.0026202081265021</v>
      </c>
      <c r="G29">
        <f t="shared" si="3"/>
        <v>4.1775842005270924E-6</v>
      </c>
    </row>
    <row r="30" spans="1:7" x14ac:dyDescent="0.2">
      <c r="A30">
        <v>25</v>
      </c>
      <c r="B30">
        <f t="shared" si="0"/>
        <v>250000</v>
      </c>
      <c r="C30">
        <f t="shared" si="4"/>
        <v>5.0226454501540534</v>
      </c>
      <c r="D30">
        <f t="shared" si="1"/>
        <v>1.1426518399100472</v>
      </c>
      <c r="E30">
        <f t="shared" si="2"/>
        <v>4.5706073596401884E-6</v>
      </c>
      <c r="F30">
        <f>C30*'lo-04_allometry'!$J$34</f>
        <v>1.0490963717232444</v>
      </c>
      <c r="G30">
        <f t="shared" si="3"/>
        <v>4.196385486892978E-6</v>
      </c>
    </row>
    <row r="31" spans="1:7" x14ac:dyDescent="0.2">
      <c r="A31">
        <v>26</v>
      </c>
      <c r="B31">
        <f t="shared" si="0"/>
        <v>260000</v>
      </c>
      <c r="C31">
        <f t="shared" si="4"/>
        <v>5.2461358057739549</v>
      </c>
      <c r="D31">
        <f t="shared" si="1"/>
        <v>1.1934958958135748</v>
      </c>
      <c r="E31">
        <f t="shared" si="2"/>
        <v>4.590368830052211E-6</v>
      </c>
      <c r="F31">
        <f>C31*'lo-04_allometry'!$J$34</f>
        <v>1.0957775327812651</v>
      </c>
      <c r="G31">
        <f t="shared" si="3"/>
        <v>4.2145289722356349E-6</v>
      </c>
    </row>
    <row r="32" spans="1:7" x14ac:dyDescent="0.2">
      <c r="A32">
        <v>27</v>
      </c>
      <c r="B32">
        <f t="shared" si="0"/>
        <v>270000</v>
      </c>
      <c r="C32">
        <f t="shared" si="4"/>
        <v>5.4705739218677323</v>
      </c>
      <c r="D32">
        <f t="shared" si="1"/>
        <v>1.2445555672249091</v>
      </c>
      <c r="E32">
        <f t="shared" si="2"/>
        <v>4.6094650637959599E-6</v>
      </c>
      <c r="F32">
        <f>C32*'lo-04_allometry'!$J$34</f>
        <v>1.1426566556672257</v>
      </c>
      <c r="G32">
        <f t="shared" si="3"/>
        <v>4.2320616876563914E-6</v>
      </c>
    </row>
    <row r="33" spans="5:7" x14ac:dyDescent="0.2">
      <c r="E33" s="15">
        <f>AVERAGE(E6:E32)</f>
        <v>4.1893965937434238E-6</v>
      </c>
      <c r="G33" s="15">
        <f>AVERAGE(G6:G32)</f>
        <v>3.8463866356281707E-6</v>
      </c>
    </row>
  </sheetData>
  <phoneticPr fontId="2" type="noConversion"/>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abSelected="1" topLeftCell="A18" workbookViewId="0">
      <selection activeCell="I21" sqref="I21"/>
    </sheetView>
  </sheetViews>
  <sheetFormatPr baseColWidth="10" defaultRowHeight="12.75" x14ac:dyDescent="0.2"/>
  <cols>
    <col min="1" max="1" width="11.7109375" customWidth="1"/>
    <col min="3" max="3" width="12.42578125" bestFit="1" customWidth="1"/>
    <col min="4" max="4" width="24.5703125" customWidth="1"/>
  </cols>
  <sheetData>
    <row r="1" spans="1:7" x14ac:dyDescent="0.2">
      <c r="A1" t="s">
        <v>116</v>
      </c>
    </row>
    <row r="3" spans="1:7" x14ac:dyDescent="0.2">
      <c r="A3" t="s">
        <v>94</v>
      </c>
    </row>
    <row r="5" spans="1:7" x14ac:dyDescent="0.2">
      <c r="A5" t="s">
        <v>132</v>
      </c>
    </row>
    <row r="7" spans="1:7" x14ac:dyDescent="0.2">
      <c r="A7" t="s">
        <v>120</v>
      </c>
      <c r="E7" t="s">
        <v>121</v>
      </c>
      <c r="G7" t="s">
        <v>122</v>
      </c>
    </row>
    <row r="9" spans="1:7" x14ac:dyDescent="0.2">
      <c r="A9" t="s">
        <v>123</v>
      </c>
      <c r="E9">
        <v>98.8</v>
      </c>
      <c r="G9">
        <v>14.58</v>
      </c>
    </row>
    <row r="10" spans="1:7" x14ac:dyDescent="0.2">
      <c r="A10" t="s">
        <v>124</v>
      </c>
      <c r="E10">
        <v>95.5</v>
      </c>
      <c r="G10">
        <v>0.19</v>
      </c>
    </row>
    <row r="11" spans="1:7" x14ac:dyDescent="0.2">
      <c r="A11" t="s">
        <v>125</v>
      </c>
      <c r="E11">
        <v>89.6</v>
      </c>
      <c r="G11">
        <v>0.22</v>
      </c>
    </row>
    <row r="12" spans="1:7" x14ac:dyDescent="0.2">
      <c r="A12" t="s">
        <v>126</v>
      </c>
      <c r="E12">
        <v>93.5</v>
      </c>
      <c r="G12">
        <v>0.17</v>
      </c>
    </row>
    <row r="13" spans="1:7" x14ac:dyDescent="0.2">
      <c r="A13" t="s">
        <v>127</v>
      </c>
      <c r="E13">
        <v>85.6</v>
      </c>
      <c r="G13">
        <v>0.31</v>
      </c>
    </row>
    <row r="14" spans="1:7" x14ac:dyDescent="0.2">
      <c r="A14" t="s">
        <v>128</v>
      </c>
      <c r="E14">
        <v>90.2</v>
      </c>
      <c r="G14">
        <v>0.27</v>
      </c>
    </row>
    <row r="15" spans="1:7" x14ac:dyDescent="0.2">
      <c r="A15" t="s">
        <v>129</v>
      </c>
      <c r="E15">
        <v>91.9</v>
      </c>
      <c r="G15">
        <v>0.24</v>
      </c>
    </row>
    <row r="16" spans="1:7" x14ac:dyDescent="0.2">
      <c r="A16" t="s">
        <v>130</v>
      </c>
      <c r="E16">
        <v>90.5</v>
      </c>
      <c r="G16">
        <v>0.26</v>
      </c>
    </row>
    <row r="17" spans="1:10" x14ac:dyDescent="0.2">
      <c r="A17" t="s">
        <v>131</v>
      </c>
      <c r="E17">
        <v>87.1</v>
      </c>
      <c r="G17">
        <v>0.3</v>
      </c>
    </row>
    <row r="19" spans="1:10" x14ac:dyDescent="0.2">
      <c r="A19" t="s">
        <v>133</v>
      </c>
    </row>
    <row r="20" spans="1:10" x14ac:dyDescent="0.2">
      <c r="B20" t="s">
        <v>134</v>
      </c>
      <c r="C20" t="s">
        <v>138</v>
      </c>
      <c r="D20" t="s">
        <v>142</v>
      </c>
      <c r="E20" t="s">
        <v>137</v>
      </c>
      <c r="G20" t="s">
        <v>136</v>
      </c>
      <c r="I20">
        <v>4.6983874881284304</v>
      </c>
      <c r="J20" t="s">
        <v>258</v>
      </c>
    </row>
    <row r="21" spans="1:10" x14ac:dyDescent="0.2">
      <c r="B21">
        <v>1</v>
      </c>
      <c r="C21">
        <f>((0.054*(B21^2.05))/0.127)^(1/2.05)</f>
        <v>0.65890743670348695</v>
      </c>
      <c r="D21">
        <f>(((0.054/0.141)*(B21^2.05))^(1/1.11))/10000</f>
        <v>4.2119350361607213E-5</v>
      </c>
      <c r="E21">
        <f>0.054*(B21^2.05)*$I$20</f>
        <v>0.25371292435893522</v>
      </c>
      <c r="F21">
        <f>0.054*(B21^2.05)*$I$21</f>
        <v>1.1279156499353862E-2</v>
      </c>
      <c r="G21" s="8">
        <f>E21/(D21*10000)</f>
        <v>0.6023666608832613</v>
      </c>
      <c r="H21" s="8">
        <f>F21/(D21*10000)</f>
        <v>2.6779037194351128E-2</v>
      </c>
      <c r="I21">
        <f>'lo-04_allometry'!J34</f>
        <v>0.20887326850655302</v>
      </c>
    </row>
    <row r="22" spans="1:10" x14ac:dyDescent="0.2">
      <c r="B22">
        <v>2</v>
      </c>
      <c r="C22">
        <f t="shared" ref="C22:C45" si="0">((0.054*(B22^2.05))/0.127)^(1/2.05)</f>
        <v>1.3178148734069737</v>
      </c>
      <c r="D22">
        <f t="shared" ref="D22:D45" si="1">(((0.054/0.141)*(B22^2.05))^(1/1.11))/10000</f>
        <v>1.5150883626818988E-4</v>
      </c>
      <c r="E22">
        <f t="shared" ref="E22:E45" si="2">0.054*(B22^2.05)*$I$20</f>
        <v>1.0506403652561047</v>
      </c>
      <c r="F22">
        <f t="shared" ref="F22:F45" si="3">0.054*(B22^2.05)*$I$21</f>
        <v>4.6707660377194204E-2</v>
      </c>
      <c r="G22" s="8">
        <f t="shared" ref="G22:G45" si="4">E22/(D22*10000)</f>
        <v>0.69345154456624425</v>
      </c>
      <c r="H22" s="8">
        <f t="shared" ref="H22:H45" si="5">F22/(D22*10000)</f>
        <v>3.0828340793612668E-2</v>
      </c>
    </row>
    <row r="23" spans="1:10" x14ac:dyDescent="0.2">
      <c r="B23">
        <v>3</v>
      </c>
      <c r="C23">
        <f t="shared" si="0"/>
        <v>1.976722310110461</v>
      </c>
      <c r="D23">
        <f t="shared" si="1"/>
        <v>3.2036978439604902E-4</v>
      </c>
      <c r="E23">
        <f t="shared" si="2"/>
        <v>2.4123546930754509</v>
      </c>
      <c r="F23">
        <f t="shared" si="3"/>
        <v>0.10724454098623261</v>
      </c>
      <c r="G23" s="8">
        <f t="shared" si="4"/>
        <v>0.75299070342203023</v>
      </c>
      <c r="H23" s="8">
        <f t="shared" si="5"/>
        <v>3.3475235871075246E-2</v>
      </c>
    </row>
    <row r="24" spans="1:10" x14ac:dyDescent="0.2">
      <c r="B24">
        <v>4</v>
      </c>
      <c r="C24">
        <f t="shared" si="0"/>
        <v>2.6356297468139478</v>
      </c>
      <c r="D24">
        <f t="shared" si="1"/>
        <v>5.4499718704743209E-4</v>
      </c>
      <c r="E24">
        <f t="shared" si="2"/>
        <v>4.350764470886153</v>
      </c>
      <c r="F24">
        <f t="shared" si="3"/>
        <v>0.19341920985281952</v>
      </c>
      <c r="G24" s="8">
        <f t="shared" si="4"/>
        <v>0.79830952788156284</v>
      </c>
      <c r="H24" s="8">
        <f t="shared" si="5"/>
        <v>3.5489946452876994E-2</v>
      </c>
    </row>
    <row r="25" spans="1:10" x14ac:dyDescent="0.2">
      <c r="B25">
        <v>5</v>
      </c>
      <c r="C25">
        <f t="shared" si="0"/>
        <v>3.2945371835174337</v>
      </c>
      <c r="D25">
        <f t="shared" si="1"/>
        <v>8.2294765617412738E-4</v>
      </c>
      <c r="E25">
        <f t="shared" si="2"/>
        <v>6.8743414528468145</v>
      </c>
      <c r="F25">
        <f t="shared" si="3"/>
        <v>0.30560829044310428</v>
      </c>
      <c r="G25" s="8">
        <f t="shared" si="4"/>
        <v>0.83533155496250344</v>
      </c>
      <c r="H25" s="8">
        <f t="shared" si="5"/>
        <v>3.7135811512468864E-2</v>
      </c>
    </row>
    <row r="26" spans="1:10" x14ac:dyDescent="0.2">
      <c r="B26">
        <v>6</v>
      </c>
      <c r="C26">
        <f t="shared" si="0"/>
        <v>3.953444620220921</v>
      </c>
      <c r="D26">
        <f t="shared" si="1"/>
        <v>1.152412199917988E-3</v>
      </c>
      <c r="E26">
        <f t="shared" si="2"/>
        <v>9.989704790420582</v>
      </c>
      <c r="F26">
        <f t="shared" si="3"/>
        <v>0.44410604622606226</v>
      </c>
      <c r="G26" s="8">
        <f t="shared" si="4"/>
        <v>0.86685170385487975</v>
      </c>
      <c r="H26" s="8">
        <f t="shared" si="5"/>
        <v>3.853708302095963E-2</v>
      </c>
    </row>
    <row r="27" spans="1:10" x14ac:dyDescent="0.2">
      <c r="B27">
        <v>7</v>
      </c>
      <c r="C27">
        <f t="shared" si="0"/>
        <v>4.6123520569244096</v>
      </c>
      <c r="D27">
        <f t="shared" si="1"/>
        <v>1.531963134951331E-3</v>
      </c>
      <c r="E27">
        <f t="shared" si="2"/>
        <v>13.702303198203763</v>
      </c>
      <c r="F27">
        <f t="shared" si="3"/>
        <v>0.60915470729228649</v>
      </c>
      <c r="G27" s="8">
        <f t="shared" si="4"/>
        <v>0.89442773690759025</v>
      </c>
      <c r="H27" s="8">
        <f t="shared" si="5"/>
        <v>3.9763013442985932E-2</v>
      </c>
    </row>
    <row r="28" spans="1:10" x14ac:dyDescent="0.2">
      <c r="B28">
        <v>8</v>
      </c>
      <c r="C28">
        <f t="shared" si="0"/>
        <v>5.2712594936278938</v>
      </c>
      <c r="D28">
        <f t="shared" si="1"/>
        <v>1.9604264754819124E-3</v>
      </c>
      <c r="E28">
        <f t="shared" si="2"/>
        <v>18.016775394414889</v>
      </c>
      <c r="F28">
        <f t="shared" si="3"/>
        <v>0.80096049423095417</v>
      </c>
      <c r="G28" s="8">
        <f t="shared" si="4"/>
        <v>0.91902326456726735</v>
      </c>
      <c r="H28" s="8">
        <f t="shared" si="5"/>
        <v>4.0856441404366464E-2</v>
      </c>
    </row>
    <row r="29" spans="1:10" x14ac:dyDescent="0.2">
      <c r="B29">
        <v>9</v>
      </c>
      <c r="C29">
        <f t="shared" si="0"/>
        <v>5.9301669303313842</v>
      </c>
      <c r="D29">
        <f t="shared" si="1"/>
        <v>2.4368086846735123E-3</v>
      </c>
      <c r="E29">
        <f t="shared" si="2"/>
        <v>22.937164828742414</v>
      </c>
      <c r="F29">
        <f t="shared" si="3"/>
        <v>1.019703164151202</v>
      </c>
      <c r="G29" s="8">
        <f t="shared" si="4"/>
        <v>0.94127885266526679</v>
      </c>
      <c r="H29" s="8">
        <f t="shared" si="5"/>
        <v>4.1845844138881323E-2</v>
      </c>
    </row>
    <row r="30" spans="1:10" x14ac:dyDescent="0.2">
      <c r="B30">
        <v>10</v>
      </c>
      <c r="C30">
        <f t="shared" si="0"/>
        <v>6.589074367034871</v>
      </c>
      <c r="D30">
        <f t="shared" si="1"/>
        <v>2.9602508259535965E-3</v>
      </c>
      <c r="E30">
        <f t="shared" si="2"/>
        <v>28.467058322564348</v>
      </c>
      <c r="F30">
        <f t="shared" si="3"/>
        <v>1.2655421741234967</v>
      </c>
      <c r="G30" s="8">
        <f t="shared" si="4"/>
        <v>0.96164345510803628</v>
      </c>
      <c r="H30" s="8">
        <f t="shared" si="5"/>
        <v>4.2751180509030783E-2</v>
      </c>
    </row>
    <row r="31" spans="1:10" x14ac:dyDescent="0.2">
      <c r="B31">
        <v>11</v>
      </c>
      <c r="C31">
        <f t="shared" si="0"/>
        <v>7.2479818037383579</v>
      </c>
      <c r="D31">
        <f t="shared" si="1"/>
        <v>3.5299980138196511E-3</v>
      </c>
      <c r="E31">
        <f t="shared" si="2"/>
        <v>34.609680945284417</v>
      </c>
      <c r="F31">
        <f t="shared" si="3"/>
        <v>1.5386208990374612</v>
      </c>
      <c r="G31" s="8">
        <f t="shared" si="4"/>
        <v>0.98044477106758621</v>
      </c>
      <c r="H31" s="8">
        <f t="shared" si="5"/>
        <v>4.3587018831565551E-2</v>
      </c>
    </row>
    <row r="32" spans="1:10" x14ac:dyDescent="0.2">
      <c r="B32">
        <v>12</v>
      </c>
      <c r="C32">
        <f t="shared" si="0"/>
        <v>7.9068892404418465</v>
      </c>
      <c r="D32">
        <f t="shared" si="1"/>
        <v>4.1453780699806731E-3</v>
      </c>
      <c r="E32">
        <f t="shared" si="2"/>
        <v>41.367963876210439</v>
      </c>
      <c r="F32">
        <f t="shared" si="3"/>
        <v>1.839069648494879</v>
      </c>
      <c r="G32" s="8">
        <f t="shared" si="4"/>
        <v>0.99792981913476742</v>
      </c>
      <c r="H32" s="8">
        <f t="shared" si="5"/>
        <v>4.4364340657194953E-2</v>
      </c>
    </row>
    <row r="33" spans="1:12" x14ac:dyDescent="0.2">
      <c r="B33">
        <v>13</v>
      </c>
      <c r="C33">
        <f t="shared" si="0"/>
        <v>8.5657966771453289</v>
      </c>
      <c r="D33">
        <f t="shared" si="1"/>
        <v>4.8057860439807733E-3</v>
      </c>
      <c r="E33">
        <f t="shared" si="2"/>
        <v>48.744594663261225</v>
      </c>
      <c r="F33">
        <f t="shared" si="3"/>
        <v>2.167007901129534</v>
      </c>
      <c r="G33" s="8">
        <f t="shared" si="4"/>
        <v>1.0142897377696125</v>
      </c>
      <c r="H33" s="8">
        <f t="shared" si="5"/>
        <v>4.5091643308667523E-2</v>
      </c>
    </row>
    <row r="34" spans="1:12" x14ac:dyDescent="0.2">
      <c r="B34">
        <v>14</v>
      </c>
      <c r="C34">
        <f t="shared" si="0"/>
        <v>9.2247041138488175</v>
      </c>
      <c r="D34">
        <f t="shared" si="1"/>
        <v>5.5106726430855452E-3</v>
      </c>
      <c r="E34">
        <f t="shared" si="2"/>
        <v>56.742055507759517</v>
      </c>
      <c r="F34">
        <f t="shared" si="3"/>
        <v>2.5225460066102614</v>
      </c>
      <c r="G34" s="8">
        <f t="shared" si="4"/>
        <v>1.0296756708812302</v>
      </c>
      <c r="H34" s="8">
        <f t="shared" si="5"/>
        <v>4.5775646096042337E-2</v>
      </c>
    </row>
    <row r="35" spans="1:12" x14ac:dyDescent="0.2">
      <c r="B35">
        <v>15</v>
      </c>
      <c r="C35">
        <f t="shared" si="0"/>
        <v>9.8836115505523079</v>
      </c>
      <c r="D35">
        <f t="shared" si="1"/>
        <v>6.2595353659124836E-3</v>
      </c>
      <c r="E35">
        <f t="shared" si="2"/>
        <v>65.362653114656382</v>
      </c>
      <c r="F35">
        <f t="shared" si="3"/>
        <v>2.9057865126736679</v>
      </c>
      <c r="G35" s="8">
        <f t="shared" si="4"/>
        <v>1.0442093429266559</v>
      </c>
      <c r="H35" s="8">
        <f t="shared" si="5"/>
        <v>4.6421760447232126E-2</v>
      </c>
    </row>
    <row r="36" spans="1:12" x14ac:dyDescent="0.2">
      <c r="B36">
        <v>16</v>
      </c>
      <c r="C36">
        <f t="shared" si="0"/>
        <v>10.542518987255789</v>
      </c>
      <c r="D36">
        <f t="shared" si="1"/>
        <v>7.0519115641526145E-3</v>
      </c>
      <c r="E36">
        <f t="shared" si="2"/>
        <v>74.60854242626452</v>
      </c>
      <c r="F36">
        <f t="shared" si="3"/>
        <v>3.3168252202398425</v>
      </c>
      <c r="G36" s="8">
        <f t="shared" si="4"/>
        <v>1.0579903299628202</v>
      </c>
      <c r="H36" s="8">
        <f t="shared" si="5"/>
        <v>4.7034413152604607E-2</v>
      </c>
    </row>
    <row r="37" spans="1:12" x14ac:dyDescent="0.2">
      <c r="B37">
        <v>17</v>
      </c>
      <c r="C37">
        <f t="shared" si="0"/>
        <v>11.201426423959282</v>
      </c>
      <c r="D37">
        <f t="shared" si="1"/>
        <v>7.8873729152449164E-3</v>
      </c>
      <c r="E37">
        <f t="shared" si="2"/>
        <v>84.481745810347064</v>
      </c>
      <c r="F37">
        <f t="shared" si="3"/>
        <v>3.7557520364451964</v>
      </c>
      <c r="G37" s="8">
        <f t="shared" si="4"/>
        <v>1.0711011983097514</v>
      </c>
      <c r="H37" s="8">
        <f t="shared" si="5"/>
        <v>4.7617274811312435E-2</v>
      </c>
    </row>
    <row r="38" spans="1:12" x14ac:dyDescent="0.2">
      <c r="B38">
        <v>18</v>
      </c>
      <c r="C38">
        <f t="shared" si="0"/>
        <v>11.860333860662767</v>
      </c>
      <c r="D38">
        <f t="shared" si="1"/>
        <v>8.7655209506658244E-3</v>
      </c>
      <c r="E38">
        <f t="shared" si="2"/>
        <v>94.984168798260512</v>
      </c>
      <c r="F38">
        <f t="shared" si="3"/>
        <v>4.2226516743032212</v>
      </c>
      <c r="G38" s="8">
        <f t="shared" si="4"/>
        <v>1.0836112232558817</v>
      </c>
      <c r="H38" s="8">
        <f t="shared" si="5"/>
        <v>4.817342515144489E-2</v>
      </c>
    </row>
    <row r="39" spans="1:12" x14ac:dyDescent="0.2">
      <c r="B39">
        <v>19</v>
      </c>
      <c r="C39">
        <f t="shared" si="0"/>
        <v>12.519241297366253</v>
      </c>
      <c r="D39">
        <f t="shared" si="1"/>
        <v>9.6859833892656653E-3</v>
      </c>
      <c r="E39">
        <f t="shared" si="2"/>
        <v>106.11761315665213</v>
      </c>
      <c r="F39">
        <f t="shared" si="3"/>
        <v>4.7176042338247521</v>
      </c>
      <c r="G39" s="8">
        <f t="shared" si="4"/>
        <v>1.0955791362832117</v>
      </c>
      <c r="H39" s="8">
        <f t="shared" si="5"/>
        <v>4.870547516169562E-2</v>
      </c>
    </row>
    <row r="40" spans="1:12" x14ac:dyDescent="0.2">
      <c r="B40">
        <v>20</v>
      </c>
      <c r="C40">
        <f t="shared" si="0"/>
        <v>13.178148734069735</v>
      </c>
      <c r="D40">
        <f t="shared" si="1"/>
        <v>1.0648411094939369E-2</v>
      </c>
      <c r="E40">
        <f t="shared" si="2"/>
        <v>117.8837878651904</v>
      </c>
      <c r="F40">
        <f t="shared" si="3"/>
        <v>5.2406856900480463</v>
      </c>
      <c r="G40" s="8">
        <f t="shared" si="4"/>
        <v>1.1070551917479441</v>
      </c>
      <c r="H40" s="8">
        <f t="shared" si="5"/>
        <v>4.9215658968488445E-2</v>
      </c>
    </row>
    <row r="41" spans="1:12" x14ac:dyDescent="0.2">
      <c r="B41">
        <v>21</v>
      </c>
      <c r="C41">
        <f t="shared" si="0"/>
        <v>13.837056170773224</v>
      </c>
      <c r="D41">
        <f t="shared" si="1"/>
        <v>1.1652475525700983E-2</v>
      </c>
      <c r="E41">
        <f t="shared" si="2"/>
        <v>130.2843184266244</v>
      </c>
      <c r="F41">
        <f t="shared" si="3"/>
        <v>5.7919683069302668</v>
      </c>
      <c r="G41" s="8">
        <f t="shared" si="4"/>
        <v>1.1180827467885783</v>
      </c>
      <c r="H41" s="8">
        <f t="shared" si="5"/>
        <v>4.9705904072961674E-2</v>
      </c>
    </row>
    <row r="42" spans="1:12" x14ac:dyDescent="0.2">
      <c r="B42">
        <v>22</v>
      </c>
      <c r="C42">
        <f t="shared" si="0"/>
        <v>14.495963607476721</v>
      </c>
      <c r="D42">
        <f t="shared" si="1"/>
        <v>1.2697866574655053E-2</v>
      </c>
      <c r="E42">
        <f t="shared" si="2"/>
        <v>143.32075483197707</v>
      </c>
      <c r="F42">
        <f t="shared" si="3"/>
        <v>6.3715209914510798</v>
      </c>
      <c r="G42" s="8">
        <f t="shared" si="4"/>
        <v>1.1286994865582014</v>
      </c>
      <c r="H42" s="8">
        <f t="shared" si="5"/>
        <v>5.0177885820352201E-2</v>
      </c>
    </row>
    <row r="43" spans="1:12" x14ac:dyDescent="0.2">
      <c r="B43">
        <v>23</v>
      </c>
      <c r="C43">
        <f t="shared" si="0"/>
        <v>15.154871044180197</v>
      </c>
      <c r="D43">
        <f t="shared" si="1"/>
        <v>1.3784290727209412E-2</v>
      </c>
      <c r="E43">
        <f t="shared" si="2"/>
        <v>156.99457842899048</v>
      </c>
      <c r="F43">
        <f t="shared" si="3"/>
        <v>6.9794095989588287</v>
      </c>
      <c r="G43" s="8">
        <f t="shared" si="4"/>
        <v>1.1389383867179472</v>
      </c>
      <c r="H43" s="8">
        <f t="shared" si="5"/>
        <v>5.0633070188964222E-2</v>
      </c>
    </row>
    <row r="44" spans="1:12" x14ac:dyDescent="0.2">
      <c r="B44">
        <v>24</v>
      </c>
      <c r="C44">
        <f t="shared" si="0"/>
        <v>15.813778480883686</v>
      </c>
      <c r="D44">
        <f t="shared" si="1"/>
        <v>1.4911469476199226E-2</v>
      </c>
      <c r="E44">
        <f t="shared" si="2"/>
        <v>171.30720788711136</v>
      </c>
      <c r="F44">
        <f t="shared" si="3"/>
        <v>7.615697198352156</v>
      </c>
      <c r="G44" s="8">
        <f t="shared" si="4"/>
        <v>1.1488284783772749</v>
      </c>
      <c r="H44" s="8">
        <f t="shared" si="5"/>
        <v>5.1072747796639791E-2</v>
      </c>
    </row>
    <row r="45" spans="1:12" x14ac:dyDescent="0.2">
      <c r="B45">
        <v>25</v>
      </c>
      <c r="C45">
        <f t="shared" si="0"/>
        <v>16.472685917587167</v>
      </c>
      <c r="D45">
        <f t="shared" si="1"/>
        <v>1.6079137949378555E-2</v>
      </c>
      <c r="E45">
        <f t="shared" si="2"/>
        <v>186.26000441141414</v>
      </c>
      <c r="F45">
        <f t="shared" si="3"/>
        <v>8.2804443038721107</v>
      </c>
      <c r="G45" s="8">
        <f t="shared" si="4"/>
        <v>1.1583954624794606</v>
      </c>
      <c r="H45" s="8">
        <f t="shared" si="5"/>
        <v>5.14980612141097E-2</v>
      </c>
    </row>
    <row r="46" spans="1:12" x14ac:dyDescent="0.2">
      <c r="A46" s="8" t="s">
        <v>139</v>
      </c>
      <c r="G46" s="8">
        <f>AVERAGE(G21:G45)</f>
        <v>0.97762023948318277</v>
      </c>
      <c r="H46" s="13">
        <f>AVERAGE(H21:H45)</f>
        <v>4.3461450400795403E-2</v>
      </c>
      <c r="I46" s="10" t="s">
        <v>143</v>
      </c>
      <c r="J46" s="9" t="s">
        <v>260</v>
      </c>
      <c r="L46" t="s">
        <v>262</v>
      </c>
    </row>
    <row r="48" spans="1:12" x14ac:dyDescent="0.2">
      <c r="A48" t="s">
        <v>144</v>
      </c>
      <c r="B48" t="s">
        <v>145</v>
      </c>
      <c r="C48" t="s">
        <v>141</v>
      </c>
      <c r="D48" t="s">
        <v>146</v>
      </c>
      <c r="E48" t="s">
        <v>147</v>
      </c>
    </row>
    <row r="49" spans="1:5" x14ac:dyDescent="0.2">
      <c r="A49">
        <v>1</v>
      </c>
      <c r="B49">
        <f>((0.054/0.127)*A49^2.05)^(1/2.05)</f>
        <v>0.65890743670348695</v>
      </c>
      <c r="C49">
        <f>(((0.127/0.141)*B49^2.05)^(1/1.11))/10000</f>
        <v>4.2119350361607213E-5</v>
      </c>
    </row>
    <row r="50" spans="1:5" x14ac:dyDescent="0.2">
      <c r="A50">
        <v>2</v>
      </c>
      <c r="B50">
        <f t="shared" ref="B50:B73" si="6">((0.054/0.127)*A50^2.05)^(1/2.05)</f>
        <v>1.3178148734069737</v>
      </c>
      <c r="C50">
        <f t="shared" ref="C50:C73" si="7">(((0.127/0.141)*B50^2.05)^(1/1.11))/10000</f>
        <v>1.5150883626818988E-4</v>
      </c>
    </row>
    <row r="51" spans="1:5" x14ac:dyDescent="0.2">
      <c r="A51">
        <v>3</v>
      </c>
      <c r="B51">
        <f t="shared" si="6"/>
        <v>1.976722310110461</v>
      </c>
      <c r="C51">
        <f t="shared" si="7"/>
        <v>3.2036978439604896E-4</v>
      </c>
    </row>
    <row r="52" spans="1:5" x14ac:dyDescent="0.2">
      <c r="A52">
        <v>4</v>
      </c>
      <c r="B52">
        <f t="shared" si="6"/>
        <v>2.6356297468139478</v>
      </c>
      <c r="C52">
        <f t="shared" si="7"/>
        <v>5.449971870474322E-4</v>
      </c>
      <c r="D52">
        <f t="shared" ref="D52:D73" si="8">SQRT((4/PI())*(((PI()/4)*(B52^2)-(C52*10000))))</f>
        <v>8.6165301069433098E-2</v>
      </c>
      <c r="E52">
        <f>(B52-D52)/B52</f>
        <v>0.96730750926848008</v>
      </c>
    </row>
    <row r="53" spans="1:5" x14ac:dyDescent="0.2">
      <c r="A53">
        <v>5</v>
      </c>
      <c r="B53">
        <f t="shared" si="6"/>
        <v>3.2945371835174337</v>
      </c>
      <c r="C53">
        <f t="shared" si="7"/>
        <v>8.2294765617412738E-4</v>
      </c>
      <c r="D53">
        <f t="shared" si="8"/>
        <v>0.61309074589234547</v>
      </c>
      <c r="E53">
        <f t="shared" ref="E53:E73" si="9">(B53-D53)/B53</f>
        <v>0.81390686711334215</v>
      </c>
    </row>
    <row r="54" spans="1:5" x14ac:dyDescent="0.2">
      <c r="A54">
        <v>6</v>
      </c>
      <c r="B54">
        <f t="shared" si="6"/>
        <v>3.953444620220921</v>
      </c>
      <c r="C54">
        <f t="shared" si="7"/>
        <v>1.152412199917988E-3</v>
      </c>
      <c r="D54">
        <f t="shared" si="8"/>
        <v>0.97813931392490372</v>
      </c>
      <c r="E54">
        <f t="shared" si="9"/>
        <v>0.75258555313461195</v>
      </c>
    </row>
    <row r="55" spans="1:5" x14ac:dyDescent="0.2">
      <c r="A55">
        <v>7</v>
      </c>
      <c r="B55">
        <f t="shared" si="6"/>
        <v>4.6123520569244087</v>
      </c>
      <c r="C55">
        <f t="shared" si="7"/>
        <v>1.531963134951331E-3</v>
      </c>
      <c r="D55">
        <f t="shared" si="8"/>
        <v>1.3297484920277096</v>
      </c>
      <c r="E55">
        <f t="shared" si="9"/>
        <v>0.71169839690979542</v>
      </c>
    </row>
    <row r="56" spans="1:5" x14ac:dyDescent="0.2">
      <c r="A56">
        <v>8</v>
      </c>
      <c r="B56">
        <f t="shared" si="6"/>
        <v>5.2712594936278938</v>
      </c>
      <c r="C56">
        <f t="shared" si="7"/>
        <v>1.9604264754819124E-3</v>
      </c>
      <c r="D56">
        <f t="shared" si="8"/>
        <v>1.6808484517851998</v>
      </c>
      <c r="E56">
        <f t="shared" si="9"/>
        <v>0.68112963252576064</v>
      </c>
    </row>
    <row r="57" spans="1:5" x14ac:dyDescent="0.2">
      <c r="A57">
        <v>9</v>
      </c>
      <c r="B57">
        <f t="shared" si="6"/>
        <v>5.9301669303313842</v>
      </c>
      <c r="C57">
        <f t="shared" si="7"/>
        <v>2.4368086846735131E-3</v>
      </c>
      <c r="D57">
        <f t="shared" si="8"/>
        <v>2.0348140010310547</v>
      </c>
      <c r="E57">
        <f t="shared" si="9"/>
        <v>0.65687070449510143</v>
      </c>
    </row>
    <row r="58" spans="1:5" x14ac:dyDescent="0.2">
      <c r="A58">
        <v>10</v>
      </c>
      <c r="B58">
        <f t="shared" si="6"/>
        <v>6.589074367034871</v>
      </c>
      <c r="C58">
        <f t="shared" si="7"/>
        <v>2.9602508259535965E-3</v>
      </c>
      <c r="D58">
        <f t="shared" si="8"/>
        <v>2.3926589549966195</v>
      </c>
      <c r="E58">
        <f t="shared" si="9"/>
        <v>0.63687479883865195</v>
      </c>
    </row>
    <row r="59" spans="1:5" x14ac:dyDescent="0.2">
      <c r="A59">
        <v>11</v>
      </c>
      <c r="B59">
        <f t="shared" si="6"/>
        <v>7.2479818037383579</v>
      </c>
      <c r="C59">
        <f t="shared" si="7"/>
        <v>3.5299980138196524E-3</v>
      </c>
      <c r="D59">
        <f t="shared" si="8"/>
        <v>2.7546160507418649</v>
      </c>
      <c r="E59">
        <f t="shared" si="9"/>
        <v>0.61994716248858517</v>
      </c>
    </row>
    <row r="60" spans="1:5" x14ac:dyDescent="0.2">
      <c r="A60">
        <v>12</v>
      </c>
      <c r="B60">
        <f t="shared" si="6"/>
        <v>7.9068892404418465</v>
      </c>
      <c r="C60">
        <f t="shared" si="7"/>
        <v>4.1453780699806731E-3</v>
      </c>
      <c r="D60">
        <f t="shared" si="8"/>
        <v>3.1206256736176874</v>
      </c>
      <c r="E60">
        <f t="shared" si="9"/>
        <v>0.60532826770148318</v>
      </c>
    </row>
    <row r="61" spans="1:5" x14ac:dyDescent="0.2">
      <c r="A61">
        <v>13</v>
      </c>
      <c r="B61">
        <f t="shared" si="6"/>
        <v>8.5657966771453289</v>
      </c>
      <c r="C61">
        <f t="shared" si="7"/>
        <v>4.8057860439807759E-3</v>
      </c>
      <c r="D61">
        <f t="shared" si="8"/>
        <v>3.4905163467411429</v>
      </c>
      <c r="E61">
        <f t="shared" si="9"/>
        <v>0.59250534675259114</v>
      </c>
    </row>
    <row r="62" spans="1:5" x14ac:dyDescent="0.2">
      <c r="A62">
        <v>14</v>
      </c>
      <c r="B62">
        <f t="shared" si="6"/>
        <v>9.2247041138488175</v>
      </c>
      <c r="C62">
        <f t="shared" si="7"/>
        <v>5.5106726430855452E-3</v>
      </c>
      <c r="D62">
        <f t="shared" si="8"/>
        <v>3.8640785079229083</v>
      </c>
      <c r="E62">
        <f t="shared" si="9"/>
        <v>0.58111626560229024</v>
      </c>
    </row>
    <row r="63" spans="1:5" x14ac:dyDescent="0.2">
      <c r="A63">
        <v>15</v>
      </c>
      <c r="B63">
        <f t="shared" si="6"/>
        <v>9.8836115505523079</v>
      </c>
      <c r="C63">
        <f t="shared" si="7"/>
        <v>6.2595353659124836E-3</v>
      </c>
      <c r="D63">
        <f t="shared" si="8"/>
        <v>4.2410962835958328</v>
      </c>
      <c r="E63">
        <f t="shared" si="9"/>
        <v>0.57089609785819284</v>
      </c>
    </row>
    <row r="64" spans="1:5" x14ac:dyDescent="0.2">
      <c r="A64">
        <v>16</v>
      </c>
      <c r="B64">
        <f t="shared" si="6"/>
        <v>10.542518987255789</v>
      </c>
      <c r="C64">
        <f t="shared" si="7"/>
        <v>7.0519115641526145E-3</v>
      </c>
      <c r="D64">
        <f t="shared" si="8"/>
        <v>4.6213612607224075</v>
      </c>
      <c r="E64">
        <f t="shared" si="9"/>
        <v>0.56164544106499692</v>
      </c>
    </row>
    <row r="65" spans="1:9" x14ac:dyDescent="0.2">
      <c r="A65">
        <v>17</v>
      </c>
      <c r="B65">
        <f t="shared" si="6"/>
        <v>11.201426423959282</v>
      </c>
      <c r="C65">
        <f t="shared" si="7"/>
        <v>7.8873729152449234E-3</v>
      </c>
      <c r="D65">
        <f t="shared" si="8"/>
        <v>5.004678104907871</v>
      </c>
      <c r="E65">
        <f t="shared" si="9"/>
        <v>0.55321064340492221</v>
      </c>
    </row>
    <row r="66" spans="1:9" x14ac:dyDescent="0.2">
      <c r="A66">
        <v>18</v>
      </c>
      <c r="B66">
        <f t="shared" si="6"/>
        <v>11.860333860662767</v>
      </c>
      <c r="C66">
        <f t="shared" si="7"/>
        <v>8.7655209506658244E-3</v>
      </c>
      <c r="D66">
        <f t="shared" si="8"/>
        <v>5.3908663719722201</v>
      </c>
      <c r="E66">
        <f t="shared" si="9"/>
        <v>0.54547094244520922</v>
      </c>
    </row>
    <row r="67" spans="1:9" x14ac:dyDescent="0.2">
      <c r="A67">
        <v>19</v>
      </c>
      <c r="B67">
        <f t="shared" si="6"/>
        <v>12.519241297366253</v>
      </c>
      <c r="C67">
        <f t="shared" si="7"/>
        <v>9.6859833892656653E-3</v>
      </c>
      <c r="D67">
        <f t="shared" si="8"/>
        <v>5.7797605359626303</v>
      </c>
      <c r="E67">
        <f t="shared" si="9"/>
        <v>0.53832980779925121</v>
      </c>
    </row>
    <row r="68" spans="1:9" x14ac:dyDescent="0.2">
      <c r="A68">
        <v>20</v>
      </c>
      <c r="B68">
        <f t="shared" si="6"/>
        <v>13.178148734069735</v>
      </c>
      <c r="C68">
        <f t="shared" si="7"/>
        <v>1.0648411094939369E-2</v>
      </c>
      <c r="D68">
        <f t="shared" si="8"/>
        <v>6.1712092097521021</v>
      </c>
      <c r="E68">
        <f t="shared" si="9"/>
        <v>0.53170894225851695</v>
      </c>
    </row>
    <row r="69" spans="1:9" x14ac:dyDescent="0.2">
      <c r="A69">
        <v>21</v>
      </c>
      <c r="B69">
        <f t="shared" si="6"/>
        <v>13.837056170773224</v>
      </c>
      <c r="C69">
        <f t="shared" si="7"/>
        <v>1.1652475525700983E-2</v>
      </c>
      <c r="D69">
        <f t="shared" si="8"/>
        <v>6.5650740391348137</v>
      </c>
      <c r="E69">
        <f t="shared" si="9"/>
        <v>0.5255440204830828</v>
      </c>
    </row>
    <row r="70" spans="1:9" x14ac:dyDescent="0.2">
      <c r="A70">
        <v>22</v>
      </c>
      <c r="B70">
        <f t="shared" si="6"/>
        <v>14.495963607476721</v>
      </c>
      <c r="C70">
        <f t="shared" si="7"/>
        <v>1.2697866574655053E-2</v>
      </c>
      <c r="D70">
        <f t="shared" si="8"/>
        <v>6.961228508178217</v>
      </c>
      <c r="E70">
        <f t="shared" si="9"/>
        <v>0.51978159598939955</v>
      </c>
      <c r="I70" t="s">
        <v>148</v>
      </c>
    </row>
    <row r="71" spans="1:9" x14ac:dyDescent="0.2">
      <c r="A71">
        <v>23</v>
      </c>
      <c r="B71">
        <f t="shared" si="6"/>
        <v>15.154871044180197</v>
      </c>
      <c r="C71">
        <f t="shared" si="7"/>
        <v>1.3784290727209412E-2</v>
      </c>
      <c r="D71">
        <f t="shared" si="8"/>
        <v>7.3595567710045557</v>
      </c>
      <c r="E71">
        <f t="shared" si="9"/>
        <v>0.51437681326686135</v>
      </c>
    </row>
    <row r="72" spans="1:9" x14ac:dyDescent="0.2">
      <c r="A72">
        <v>24</v>
      </c>
      <c r="B72">
        <f t="shared" si="6"/>
        <v>15.813778480883686</v>
      </c>
      <c r="C72">
        <f t="shared" si="7"/>
        <v>1.4911469476199226E-2</v>
      </c>
      <c r="D72">
        <f t="shared" si="8"/>
        <v>7.7599525623793699</v>
      </c>
      <c r="E72">
        <f t="shared" si="9"/>
        <v>0.50929168688179716</v>
      </c>
    </row>
    <row r="73" spans="1:9" x14ac:dyDescent="0.2">
      <c r="A73">
        <v>25</v>
      </c>
      <c r="B73">
        <f t="shared" si="6"/>
        <v>16.472685917587167</v>
      </c>
      <c r="C73">
        <f t="shared" si="7"/>
        <v>1.6079137949378555E-2</v>
      </c>
      <c r="D73">
        <f t="shared" si="8"/>
        <v>8.1623182071926283</v>
      </c>
      <c r="E73">
        <f t="shared" si="9"/>
        <v>0.50449378759306773</v>
      </c>
    </row>
  </sheetData>
  <phoneticPr fontId="0" type="noConversion"/>
  <pageMargins left="0.78740157499999996" right="0.78740157499999996"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Inhalt</vt:lpstr>
      <vt:lpstr>Sabate</vt:lpstr>
      <vt:lpstr>Atzmon</vt:lpstr>
      <vt:lpstr>baq-01</vt:lpstr>
      <vt:lpstr>fue-01</vt:lpstr>
      <vt:lpstr>lop-04</vt:lpstr>
      <vt:lpstr>crown_area</vt:lpstr>
      <vt:lpstr>Tabelle1</vt:lpstr>
      <vt:lpstr>lop-05</vt:lpstr>
      <vt:lpstr>lo-04_allometry</vt:lpstr>
      <vt:lpstr>LeThiec</vt:lpstr>
      <vt:lpstr>roy-01</vt:lpstr>
      <vt:lpstr>Growth_comp</vt:lpstr>
      <vt:lpstr>Pausas</vt:lpstr>
      <vt:lpstr>Sardans (2)</vt:lpstr>
    </vt:vector>
  </TitlesOfParts>
  <Company>PIK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rock</dc:creator>
  <cp:lastModifiedBy>Petra Lasch</cp:lastModifiedBy>
  <dcterms:created xsi:type="dcterms:W3CDTF">2007-01-25T13:39:39Z</dcterms:created>
  <dcterms:modified xsi:type="dcterms:W3CDTF">2019-06-11T09:05:18Z</dcterms:modified>
</cp:coreProperties>
</file>