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0" yWindow="0" windowWidth="8430" windowHeight="9120" tabRatio="836" firstSheet="14" activeTab="29"/>
  </bookViews>
  <sheets>
    <sheet name="Inhalt der Mappe" sheetId="1" r:id="rId1"/>
    <sheet name="Amann, SDW" sheetId="2" r:id="rId2"/>
    <sheet name="CMA" sheetId="4" r:id="rId3"/>
    <sheet name="Jarvis" sheetId="5" r:id="rId4"/>
    <sheet name="Köstler" sheetId="6" r:id="rId5"/>
    <sheet name="Lyr, Fiedler, Tr." sheetId="7" r:id="rId6"/>
    <sheet name="Bungart" sheetId="8" r:id="rId7"/>
    <sheet name="Rock-BHK" sheetId="9" r:id="rId8"/>
    <sheet name="Hofmann" sheetId="10" r:id="rId9"/>
    <sheet name="Liesebach" sheetId="11" r:id="rId10"/>
    <sheet name="Stetter" sheetId="12" r:id="rId11"/>
    <sheet name="Jug" sheetId="3" r:id="rId12"/>
    <sheet name="Duchesne" sheetId="13" r:id="rId13"/>
    <sheet name="Johansson" sheetId="14" r:id="rId14"/>
    <sheet name="DesRochers" sheetId="18" r:id="rId15"/>
    <sheet name="Ruark + B." sheetId="17" r:id="rId16"/>
    <sheet name="Rätzel" sheetId="15" r:id="rId17"/>
    <sheet name="Kronenbr." sheetId="29" r:id="rId18"/>
    <sheet name="Leder" sheetId="21" r:id="rId19"/>
    <sheet name="Sämlinge" sheetId="19" r:id="rId20"/>
    <sheet name="Pinno" sheetId="23" r:id="rId21"/>
    <sheet name="Osawa" sheetId="22" r:id="rId22"/>
    <sheet name="Ewers" sheetId="24" r:id="rId23"/>
    <sheet name="Stockaus." sheetId="20" r:id="rId24"/>
    <sheet name="Bond_L" sheetId="27" r:id="rId25"/>
    <sheet name="Pregitzer_roots" sheetId="28" r:id="rId26"/>
    <sheet name="Hofmann_S" sheetId="30" r:id="rId27"/>
    <sheet name="Person" sheetId="31" r:id="rId28"/>
    <sheet name="Muhs" sheetId="32" r:id="rId29"/>
    <sheet name="Wolf" sheetId="33" r:id="rId30"/>
    <sheet name="Poker" sheetId="34" r:id="rId31"/>
    <sheet name="##dbh-rKr." sheetId="16" r:id="rId32"/>
    <sheet name="##BlattmasseHöheAs" sheetId="25" r:id="rId33"/>
    <sheet name="##leafmass_sapwood" sheetId="26" r:id="rId34"/>
  </sheets>
  <externalReferences>
    <externalReference r:id="rId35"/>
    <externalReference r:id="rId36"/>
  </externalReferences>
  <definedNames>
    <definedName name="solver_adj" localSheetId="32" hidden="1">'##BlattmasseHöheAs'!$I$1:$I$3</definedName>
    <definedName name="solver_cvg" localSheetId="32" hidden="1">0.0001</definedName>
    <definedName name="solver_drv" localSheetId="32" hidden="1">1</definedName>
    <definedName name="solver_est" localSheetId="32" hidden="1">1</definedName>
    <definedName name="solver_itr" localSheetId="32" hidden="1">100</definedName>
    <definedName name="solver_lin" localSheetId="32" hidden="1">2</definedName>
    <definedName name="solver_neg" localSheetId="32" hidden="1">2</definedName>
    <definedName name="solver_num" localSheetId="32" hidden="1">0</definedName>
    <definedName name="solver_nwt" localSheetId="32" hidden="1">1</definedName>
    <definedName name="solver_opt" localSheetId="32" hidden="1">'##BlattmasseHöheAs'!$J$20</definedName>
    <definedName name="solver_pre" localSheetId="32" hidden="1">0.000001</definedName>
    <definedName name="solver_scl" localSheetId="32" hidden="1">2</definedName>
    <definedName name="solver_sho" localSheetId="32" hidden="1">2</definedName>
    <definedName name="solver_tim" localSheetId="32" hidden="1">100</definedName>
    <definedName name="solver_tol" localSheetId="32" hidden="1">0.05</definedName>
    <definedName name="solver_typ" localSheetId="32" hidden="1">2</definedName>
    <definedName name="solver_val" localSheetId="32" hidden="1">0</definedName>
  </definedNames>
  <calcPr calcId="145621"/>
</workbook>
</file>

<file path=xl/calcChain.xml><?xml version="1.0" encoding="utf-8"?>
<calcChain xmlns="http://schemas.openxmlformats.org/spreadsheetml/2006/main">
  <c r="E18" i="25" l="1"/>
  <c r="D18" i="25"/>
  <c r="M18" i="25"/>
  <c r="E17" i="25"/>
  <c r="D17" i="25"/>
  <c r="M17" i="25"/>
  <c r="E16" i="25"/>
  <c r="M16" i="25" s="1"/>
  <c r="D16" i="25"/>
  <c r="E15" i="25"/>
  <c r="M15" i="25" s="1"/>
  <c r="D15" i="25"/>
  <c r="E14" i="25"/>
  <c r="D14" i="25"/>
  <c r="M14" i="25"/>
  <c r="E13" i="25"/>
  <c r="D13" i="25"/>
  <c r="M13" i="25"/>
  <c r="E12" i="25"/>
  <c r="M12" i="25" s="1"/>
  <c r="D12" i="25"/>
  <c r="E11" i="25"/>
  <c r="M11" i="25" s="1"/>
  <c r="D11" i="25"/>
  <c r="E10" i="25"/>
  <c r="D10" i="25"/>
  <c r="M10" i="25"/>
  <c r="E9" i="25"/>
  <c r="D9" i="25"/>
  <c r="M9" i="25"/>
  <c r="E8" i="25"/>
  <c r="M8" i="25" s="1"/>
  <c r="D8" i="25"/>
  <c r="I9" i="22"/>
  <c r="E7" i="25"/>
  <c r="M7" i="25" s="1"/>
  <c r="D7" i="25"/>
  <c r="I8" i="22"/>
  <c r="E6" i="25"/>
  <c r="M6" i="25" s="1"/>
  <c r="D6" i="25"/>
  <c r="I7" i="22"/>
  <c r="E5" i="25"/>
  <c r="M5" i="25" s="1"/>
  <c r="D5" i="25"/>
  <c r="I6" i="22"/>
  <c r="E4" i="25"/>
  <c r="M4" i="25" s="1"/>
  <c r="D4" i="25"/>
  <c r="N2" i="25"/>
  <c r="O2" i="25"/>
  <c r="L5" i="25"/>
  <c r="L24" i="25"/>
  <c r="L23" i="25"/>
  <c r="L22" i="25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6" i="25"/>
  <c r="L4" i="25"/>
  <c r="I18" i="25"/>
  <c r="I17" i="25"/>
  <c r="I16" i="25"/>
  <c r="J16" i="25" s="1"/>
  <c r="I14" i="25"/>
  <c r="I13" i="25"/>
  <c r="I12" i="25"/>
  <c r="J12" i="25" s="1"/>
  <c r="I10" i="25"/>
  <c r="I9" i="25"/>
  <c r="I8" i="25"/>
  <c r="J8" i="25" s="1"/>
  <c r="I4" i="25"/>
  <c r="J4" i="25" s="1"/>
  <c r="C4" i="25"/>
  <c r="C5" i="25"/>
  <c r="C6" i="25"/>
  <c r="C7" i="25"/>
  <c r="C8" i="25"/>
  <c r="C9" i="25"/>
  <c r="J9" i="25"/>
  <c r="C10" i="25"/>
  <c r="J10" i="25"/>
  <c r="C11" i="25"/>
  <c r="C12" i="25"/>
  <c r="C13" i="25"/>
  <c r="J13" i="25"/>
  <c r="C14" i="25"/>
  <c r="J14" i="25"/>
  <c r="C15" i="25"/>
  <c r="C16" i="25"/>
  <c r="C17" i="25"/>
  <c r="J17" i="25"/>
  <c r="C18" i="25"/>
  <c r="J18" i="25"/>
  <c r="B18" i="25"/>
  <c r="A18" i="25"/>
  <c r="B17" i="25"/>
  <c r="A17" i="25"/>
  <c r="B16" i="25"/>
  <c r="A16" i="25"/>
  <c r="B15" i="25"/>
  <c r="A15" i="25"/>
  <c r="B14" i="25"/>
  <c r="A14" i="25"/>
  <c r="B13" i="25"/>
  <c r="A13" i="25"/>
  <c r="B12" i="25"/>
  <c r="A12" i="25"/>
  <c r="B11" i="25"/>
  <c r="A11" i="25"/>
  <c r="B10" i="25"/>
  <c r="A10" i="25"/>
  <c r="B9" i="25"/>
  <c r="A9" i="25"/>
  <c r="B8" i="25"/>
  <c r="A8" i="25"/>
  <c r="A7" i="25"/>
  <c r="A6" i="25"/>
  <c r="A5" i="25"/>
  <c r="A4" i="25"/>
  <c r="B29" i="23"/>
  <c r="D29" i="23"/>
  <c r="J85" i="16"/>
  <c r="I85" i="16"/>
  <c r="B28" i="23"/>
  <c r="D28" i="23"/>
  <c r="J84" i="16"/>
  <c r="I84" i="16"/>
  <c r="B27" i="23"/>
  <c r="D27" i="23"/>
  <c r="J83" i="16"/>
  <c r="I83" i="16"/>
  <c r="B26" i="23"/>
  <c r="D26" i="23"/>
  <c r="J82" i="16"/>
  <c r="I82" i="16"/>
  <c r="B25" i="23"/>
  <c r="D25" i="23"/>
  <c r="J81" i="16"/>
  <c r="I81" i="16"/>
  <c r="B24" i="23"/>
  <c r="D24" i="23"/>
  <c r="J80" i="16"/>
  <c r="I80" i="16"/>
  <c r="B23" i="23"/>
  <c r="D23" i="23"/>
  <c r="J79" i="16"/>
  <c r="I79" i="16"/>
  <c r="B22" i="23"/>
  <c r="D22" i="23"/>
  <c r="J78" i="16"/>
  <c r="I78" i="16"/>
  <c r="B21" i="23"/>
  <c r="D21" i="23"/>
  <c r="J77" i="16"/>
  <c r="I77" i="16"/>
  <c r="B20" i="23"/>
  <c r="D20" i="23"/>
  <c r="J76" i="16"/>
  <c r="I76" i="16"/>
  <c r="B19" i="23"/>
  <c r="D19" i="23"/>
  <c r="J75" i="16"/>
  <c r="I75" i="16"/>
  <c r="B18" i="23"/>
  <c r="D18" i="23"/>
  <c r="J74" i="16"/>
  <c r="I74" i="16"/>
  <c r="G68" i="16"/>
  <c r="E68" i="16"/>
  <c r="H68" i="16"/>
  <c r="G69" i="16"/>
  <c r="E69" i="16"/>
  <c r="H69" i="16"/>
  <c r="G67" i="16"/>
  <c r="H67" i="16" s="1"/>
  <c r="E67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36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40" i="16"/>
  <c r="E5" i="16"/>
  <c r="E6" i="16"/>
  <c r="E7" i="16"/>
  <c r="E8" i="16"/>
  <c r="E9" i="16"/>
  <c r="E4" i="16"/>
  <c r="D5" i="16"/>
  <c r="D6" i="16"/>
  <c r="D7" i="16"/>
  <c r="D8" i="16"/>
  <c r="D9" i="16"/>
  <c r="D4" i="16"/>
  <c r="D19" i="26"/>
  <c r="B17" i="26"/>
  <c r="B16" i="26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C17" i="26"/>
  <c r="D17" i="26"/>
  <c r="C16" i="26"/>
  <c r="D16" i="26"/>
  <c r="C15" i="26"/>
  <c r="D15" i="26"/>
  <c r="C14" i="26"/>
  <c r="D14" i="26"/>
  <c r="C13" i="26"/>
  <c r="D13" i="26"/>
  <c r="C12" i="26"/>
  <c r="D12" i="26"/>
  <c r="C11" i="26"/>
  <c r="D11" i="26"/>
  <c r="C10" i="26"/>
  <c r="D10" i="26"/>
  <c r="C9" i="26"/>
  <c r="D9" i="26"/>
  <c r="C8" i="26"/>
  <c r="D8" i="26"/>
  <c r="C7" i="26"/>
  <c r="D7" i="26"/>
  <c r="C6" i="26"/>
  <c r="D6" i="26"/>
  <c r="C5" i="26"/>
  <c r="D5" i="26"/>
  <c r="C4" i="26"/>
  <c r="D4" i="26"/>
  <c r="C3" i="26"/>
  <c r="D3" i="26"/>
  <c r="C64" i="8"/>
  <c r="D64" i="8"/>
  <c r="E64" i="8"/>
  <c r="B64" i="8"/>
  <c r="D218" i="8"/>
  <c r="L218" i="8"/>
  <c r="E218" i="8"/>
  <c r="F218" i="8" s="1"/>
  <c r="N218" i="8" s="1"/>
  <c r="M218" i="8"/>
  <c r="O218" i="8"/>
  <c r="D219" i="8"/>
  <c r="E219" i="8" s="1"/>
  <c r="O219" i="8"/>
  <c r="D220" i="8"/>
  <c r="E220" i="8" s="1"/>
  <c r="L220" i="8"/>
  <c r="O220" i="8"/>
  <c r="K218" i="8"/>
  <c r="K219" i="8"/>
  <c r="K220" i="8"/>
  <c r="J219" i="8"/>
  <c r="J220" i="8"/>
  <c r="J218" i="8"/>
  <c r="K112" i="8"/>
  <c r="L112" i="8"/>
  <c r="M112" i="8"/>
  <c r="N112" i="8"/>
  <c r="O112" i="8"/>
  <c r="K113" i="8"/>
  <c r="D113" i="8"/>
  <c r="L113" i="8"/>
  <c r="E113" i="8"/>
  <c r="M113" i="8" s="1"/>
  <c r="F113" i="8"/>
  <c r="N113" i="8"/>
  <c r="G113" i="8"/>
  <c r="O113" i="8" s="1"/>
  <c r="K114" i="8"/>
  <c r="D114" i="8"/>
  <c r="E114" i="8" s="1"/>
  <c r="M114" i="8" s="1"/>
  <c r="L114" i="8"/>
  <c r="F114" i="8"/>
  <c r="N114" i="8"/>
  <c r="O114" i="8"/>
  <c r="K115" i="8"/>
  <c r="D115" i="8"/>
  <c r="E115" i="8" s="1"/>
  <c r="M115" i="8" s="1"/>
  <c r="L115" i="8"/>
  <c r="F115" i="8"/>
  <c r="N115" i="8"/>
  <c r="O115" i="8"/>
  <c r="K116" i="8"/>
  <c r="D116" i="8"/>
  <c r="E116" i="8" s="1"/>
  <c r="M116" i="8" s="1"/>
  <c r="L116" i="8"/>
  <c r="F116" i="8"/>
  <c r="N116" i="8"/>
  <c r="O116" i="8"/>
  <c r="K117" i="8"/>
  <c r="D117" i="8"/>
  <c r="E117" i="8" s="1"/>
  <c r="M117" i="8" s="1"/>
  <c r="L117" i="8"/>
  <c r="F117" i="8"/>
  <c r="N117" i="8"/>
  <c r="O117" i="8"/>
  <c r="K118" i="8"/>
  <c r="D118" i="8"/>
  <c r="E118" i="8" s="1"/>
  <c r="M118" i="8" s="1"/>
  <c r="L118" i="8"/>
  <c r="F118" i="8"/>
  <c r="N118" i="8"/>
  <c r="O118" i="8"/>
  <c r="K119" i="8"/>
  <c r="D119" i="8"/>
  <c r="E119" i="8" s="1"/>
  <c r="M119" i="8" s="1"/>
  <c r="L119" i="8"/>
  <c r="F119" i="8"/>
  <c r="N119" i="8"/>
  <c r="O119" i="8"/>
  <c r="K120" i="8"/>
  <c r="D120" i="8"/>
  <c r="E120" i="8" s="1"/>
  <c r="M120" i="8" s="1"/>
  <c r="L120" i="8"/>
  <c r="F120" i="8"/>
  <c r="N120" i="8"/>
  <c r="O120" i="8"/>
  <c r="J113" i="8"/>
  <c r="J114" i="8"/>
  <c r="J115" i="8"/>
  <c r="J116" i="8"/>
  <c r="J117" i="8"/>
  <c r="J118" i="8"/>
  <c r="J119" i="8"/>
  <c r="J120" i="8"/>
  <c r="J112" i="8"/>
  <c r="C127" i="8"/>
  <c r="D127" i="8"/>
  <c r="C126" i="8"/>
  <c r="D126" i="8"/>
  <c r="C125" i="8"/>
  <c r="D125" i="8"/>
  <c r="O5" i="4"/>
  <c r="P5" i="4"/>
  <c r="Q5" i="4"/>
  <c r="O6" i="4"/>
  <c r="P6" i="4" s="1"/>
  <c r="Q6" i="4" s="1"/>
  <c r="O7" i="4"/>
  <c r="P7" i="4"/>
  <c r="Q7" i="4" s="1"/>
  <c r="O8" i="4"/>
  <c r="P8" i="4"/>
  <c r="Q8" i="4"/>
  <c r="O9" i="4"/>
  <c r="P9" i="4"/>
  <c r="Q9" i="4"/>
  <c r="O10" i="4"/>
  <c r="P10" i="4" s="1"/>
  <c r="Q10" i="4" s="1"/>
  <c r="O11" i="4"/>
  <c r="P11" i="4"/>
  <c r="Q11" i="4" s="1"/>
  <c r="O12" i="4"/>
  <c r="P12" i="4"/>
  <c r="Q12" i="4"/>
  <c r="O13" i="4"/>
  <c r="P13" i="4"/>
  <c r="Q13" i="4"/>
  <c r="O14" i="4"/>
  <c r="P14" i="4" s="1"/>
  <c r="Q14" i="4" s="1"/>
  <c r="O15" i="4"/>
  <c r="P15" i="4"/>
  <c r="Q15" i="4" s="1"/>
  <c r="O16" i="4"/>
  <c r="P16" i="4"/>
  <c r="Q16" i="4"/>
  <c r="O17" i="4"/>
  <c r="P17" i="4"/>
  <c r="Q17" i="4"/>
  <c r="O18" i="4"/>
  <c r="P18" i="4" s="1"/>
  <c r="Q18" i="4" s="1"/>
  <c r="O19" i="4"/>
  <c r="P19" i="4"/>
  <c r="Q19" i="4" s="1"/>
  <c r="O20" i="4"/>
  <c r="P20" i="4"/>
  <c r="Q20" i="4"/>
  <c r="O21" i="4"/>
  <c r="P21" i="4"/>
  <c r="Q21" i="4"/>
  <c r="O22" i="4"/>
  <c r="P22" i="4" s="1"/>
  <c r="Q22" i="4" s="1"/>
  <c r="O23" i="4"/>
  <c r="P23" i="4"/>
  <c r="Q23" i="4" s="1"/>
  <c r="O24" i="4"/>
  <c r="P24" i="4"/>
  <c r="Q24" i="4"/>
  <c r="O25" i="4"/>
  <c r="P25" i="4"/>
  <c r="Q25" i="4"/>
  <c r="O26" i="4"/>
  <c r="P26" i="4" s="1"/>
  <c r="Q26" i="4" s="1"/>
  <c r="O4" i="4"/>
  <c r="P4" i="4"/>
  <c r="Q4" i="4" s="1"/>
  <c r="B9" i="13"/>
  <c r="B8" i="13"/>
  <c r="P76" i="10"/>
  <c r="E76" i="10"/>
  <c r="Q76" i="10"/>
  <c r="R76" i="10"/>
  <c r="G76" i="10"/>
  <c r="S76" i="10" s="1"/>
  <c r="T76" i="10"/>
  <c r="I76" i="10"/>
  <c r="U76" i="10"/>
  <c r="V76" i="10"/>
  <c r="K76" i="10"/>
  <c r="W76" i="10"/>
  <c r="X76" i="10"/>
  <c r="O76" i="10"/>
  <c r="P71" i="10"/>
  <c r="E71" i="10"/>
  <c r="Q71" i="10"/>
  <c r="R71" i="10"/>
  <c r="G71" i="10"/>
  <c r="S71" i="10"/>
  <c r="T71" i="10"/>
  <c r="I71" i="10"/>
  <c r="U71" i="10"/>
  <c r="V71" i="10"/>
  <c r="K71" i="10"/>
  <c r="W71" i="10" s="1"/>
  <c r="X71" i="10"/>
  <c r="O71" i="10"/>
  <c r="R66" i="10"/>
  <c r="E66" i="10"/>
  <c r="S66" i="10"/>
  <c r="T66" i="10"/>
  <c r="G66" i="10"/>
  <c r="U66" i="10" s="1"/>
  <c r="V66" i="10"/>
  <c r="I66" i="10"/>
  <c r="W66" i="10"/>
  <c r="X66" i="10"/>
  <c r="K66" i="10"/>
  <c r="Y66" i="10"/>
  <c r="Z66" i="10"/>
  <c r="M66" i="10"/>
  <c r="AA66" i="10"/>
  <c r="AB66" i="10"/>
  <c r="Q66" i="10"/>
  <c r="P61" i="10"/>
  <c r="E61" i="10"/>
  <c r="O61" i="10"/>
  <c r="N61" i="10"/>
  <c r="T60" i="10"/>
  <c r="I60" i="10"/>
  <c r="S60" i="10"/>
  <c r="R60" i="10"/>
  <c r="G60" i="10"/>
  <c r="Q60" i="10"/>
  <c r="P60" i="10"/>
  <c r="E60" i="10"/>
  <c r="O60" i="10" s="1"/>
  <c r="N60" i="10"/>
  <c r="M60" i="10"/>
  <c r="M61" i="10"/>
  <c r="N53" i="10"/>
  <c r="E53" i="10"/>
  <c r="O53" i="10"/>
  <c r="P53" i="10"/>
  <c r="G53" i="10"/>
  <c r="Q53" i="10"/>
  <c r="R53" i="10"/>
  <c r="I53" i="10"/>
  <c r="S53" i="10" s="1"/>
  <c r="T53" i="10"/>
  <c r="N54" i="10"/>
  <c r="E54" i="10"/>
  <c r="O54" i="10" s="1"/>
  <c r="P54" i="10"/>
  <c r="M54" i="10"/>
  <c r="M53" i="10"/>
  <c r="N48" i="10"/>
  <c r="E48" i="10"/>
  <c r="O48" i="10"/>
  <c r="P48" i="10"/>
  <c r="G48" i="10"/>
  <c r="Q48" i="10"/>
  <c r="R48" i="10"/>
  <c r="M48" i="10"/>
  <c r="N47" i="10"/>
  <c r="E47" i="10"/>
  <c r="O47" i="10"/>
  <c r="P47" i="10"/>
  <c r="G47" i="10"/>
  <c r="Q47" i="10"/>
  <c r="R47" i="10"/>
  <c r="M47" i="10"/>
  <c r="N40" i="10"/>
  <c r="E40" i="10"/>
  <c r="O40" i="10"/>
  <c r="P40" i="10"/>
  <c r="G40" i="10"/>
  <c r="Q40" i="10"/>
  <c r="R40" i="10"/>
  <c r="I40" i="10"/>
  <c r="S40" i="10" s="1"/>
  <c r="T40" i="10"/>
  <c r="N41" i="10"/>
  <c r="E41" i="10"/>
  <c r="O41" i="10" s="1"/>
  <c r="P41" i="10"/>
  <c r="G41" i="10"/>
  <c r="Q41" i="10"/>
  <c r="R41" i="10"/>
  <c r="I41" i="10"/>
  <c r="S41" i="10"/>
  <c r="T41" i="10"/>
  <c r="N42" i="10"/>
  <c r="E42" i="10"/>
  <c r="O42" i="10"/>
  <c r="P42" i="10"/>
  <c r="G42" i="10"/>
  <c r="Q42" i="10"/>
  <c r="R42" i="10"/>
  <c r="I42" i="10"/>
  <c r="S42" i="10" s="1"/>
  <c r="T42" i="10"/>
  <c r="M41" i="10"/>
  <c r="M42" i="10"/>
  <c r="M40" i="10"/>
  <c r="N33" i="10"/>
  <c r="E33" i="10"/>
  <c r="O33" i="10"/>
  <c r="P33" i="10"/>
  <c r="G33" i="10"/>
  <c r="Q33" i="10"/>
  <c r="R33" i="10"/>
  <c r="I33" i="10"/>
  <c r="S33" i="10"/>
  <c r="T33" i="10"/>
  <c r="N34" i="10"/>
  <c r="E34" i="10"/>
  <c r="O34" i="10"/>
  <c r="P34" i="10"/>
  <c r="G34" i="10"/>
  <c r="Q34" i="10" s="1"/>
  <c r="R34" i="10"/>
  <c r="I34" i="10"/>
  <c r="S34" i="10"/>
  <c r="T34" i="10"/>
  <c r="N35" i="10"/>
  <c r="E35" i="10"/>
  <c r="O35" i="10"/>
  <c r="P35" i="10"/>
  <c r="G35" i="10"/>
  <c r="Q35" i="10"/>
  <c r="R35" i="10"/>
  <c r="I35" i="10"/>
  <c r="S35" i="10"/>
  <c r="T35" i="10"/>
  <c r="M34" i="10"/>
  <c r="M35" i="10"/>
  <c r="M33" i="10"/>
  <c r="N18" i="10"/>
  <c r="E18" i="10"/>
  <c r="O18" i="10" s="1"/>
  <c r="P18" i="10"/>
  <c r="G18" i="10"/>
  <c r="Q18" i="10"/>
  <c r="R18" i="10"/>
  <c r="I18" i="10"/>
  <c r="S18" i="10"/>
  <c r="T18" i="10"/>
  <c r="N19" i="10"/>
  <c r="E19" i="10"/>
  <c r="O19" i="10"/>
  <c r="P19" i="10"/>
  <c r="G19" i="10"/>
  <c r="Q19" i="10"/>
  <c r="R19" i="10"/>
  <c r="I19" i="10"/>
  <c r="S19" i="10" s="1"/>
  <c r="T19" i="10"/>
  <c r="N20" i="10"/>
  <c r="E20" i="10"/>
  <c r="O20" i="10" s="1"/>
  <c r="P20" i="10"/>
  <c r="G20" i="10"/>
  <c r="Q20" i="10"/>
  <c r="R20" i="10"/>
  <c r="I20" i="10"/>
  <c r="S20" i="10"/>
  <c r="T20" i="10"/>
  <c r="N21" i="10"/>
  <c r="E21" i="10"/>
  <c r="O21" i="10"/>
  <c r="P21" i="10"/>
  <c r="G21" i="10"/>
  <c r="Q21" i="10"/>
  <c r="R21" i="10"/>
  <c r="I21" i="10"/>
  <c r="S21" i="10" s="1"/>
  <c r="T21" i="10"/>
  <c r="M19" i="10"/>
  <c r="M20" i="10"/>
  <c r="M21" i="10"/>
  <c r="M18" i="10"/>
  <c r="L26" i="5"/>
  <c r="L25" i="5"/>
  <c r="L24" i="5"/>
  <c r="L23" i="5"/>
  <c r="T6" i="14"/>
  <c r="V6" i="14" s="1"/>
  <c r="T7" i="14"/>
  <c r="V7" i="14" s="1"/>
  <c r="T8" i="14"/>
  <c r="T9" i="14"/>
  <c r="V9" i="14" s="1"/>
  <c r="T10" i="14"/>
  <c r="V10" i="14" s="1"/>
  <c r="T11" i="14"/>
  <c r="V11" i="14" s="1"/>
  <c r="T12" i="14"/>
  <c r="T13" i="14"/>
  <c r="V13" i="14" s="1"/>
  <c r="T14" i="14"/>
  <c r="V14" i="14" s="1"/>
  <c r="T15" i="14"/>
  <c r="V15" i="14" s="1"/>
  <c r="T5" i="14"/>
  <c r="V8" i="14"/>
  <c r="V12" i="14"/>
  <c r="V5" i="14"/>
  <c r="Q6" i="14"/>
  <c r="Q7" i="14"/>
  <c r="U7" i="14"/>
  <c r="Q8" i="14"/>
  <c r="U8" i="14"/>
  <c r="Q9" i="14"/>
  <c r="U9" i="14"/>
  <c r="Q10" i="14"/>
  <c r="Q11" i="14"/>
  <c r="U11" i="14"/>
  <c r="Q12" i="14"/>
  <c r="U12" i="14"/>
  <c r="Q13" i="14"/>
  <c r="U13" i="14"/>
  <c r="Q14" i="14"/>
  <c r="Q15" i="14"/>
  <c r="U15" i="14"/>
  <c r="Q5" i="14"/>
  <c r="U5" i="14"/>
  <c r="G69" i="29"/>
  <c r="H69" i="29" s="1"/>
  <c r="E69" i="29"/>
  <c r="G68" i="29"/>
  <c r="E68" i="29"/>
  <c r="H68" i="29"/>
  <c r="G67" i="29"/>
  <c r="E67" i="29"/>
  <c r="H67" i="29"/>
  <c r="E55" i="29"/>
  <c r="C55" i="29"/>
  <c r="B55" i="29"/>
  <c r="E54" i="29"/>
  <c r="C54" i="29"/>
  <c r="B54" i="29"/>
  <c r="E53" i="29"/>
  <c r="C53" i="29"/>
  <c r="B53" i="29"/>
  <c r="E52" i="29"/>
  <c r="C52" i="29"/>
  <c r="B52" i="29"/>
  <c r="E51" i="29"/>
  <c r="C51" i="29"/>
  <c r="B51" i="29"/>
  <c r="E50" i="29"/>
  <c r="C50" i="29"/>
  <c r="B50" i="29"/>
  <c r="E49" i="29"/>
  <c r="C49" i="29"/>
  <c r="B49" i="29"/>
  <c r="E48" i="29"/>
  <c r="C48" i="29"/>
  <c r="B48" i="29"/>
  <c r="E47" i="29"/>
  <c r="C47" i="29"/>
  <c r="B47" i="29"/>
  <c r="E46" i="29"/>
  <c r="C46" i="29"/>
  <c r="B46" i="29"/>
  <c r="E45" i="29"/>
  <c r="C45" i="29"/>
  <c r="B45" i="29"/>
  <c r="E44" i="29"/>
  <c r="C44" i="29"/>
  <c r="B44" i="29"/>
  <c r="E43" i="29"/>
  <c r="C43" i="29"/>
  <c r="B43" i="29"/>
  <c r="E42" i="29"/>
  <c r="C42" i="29"/>
  <c r="B42" i="29"/>
  <c r="E41" i="29"/>
  <c r="C41" i="29"/>
  <c r="B41" i="29"/>
  <c r="E40" i="29"/>
  <c r="C40" i="29"/>
  <c r="B40" i="29"/>
  <c r="E39" i="29"/>
  <c r="E38" i="29"/>
  <c r="E37" i="29"/>
  <c r="E36" i="29"/>
  <c r="E9" i="29"/>
  <c r="D9" i="29"/>
  <c r="E8" i="29"/>
  <c r="D8" i="29"/>
  <c r="E7" i="29"/>
  <c r="D7" i="29"/>
  <c r="E6" i="29"/>
  <c r="D6" i="29"/>
  <c r="E5" i="29"/>
  <c r="D5" i="29"/>
  <c r="E4" i="29"/>
  <c r="D4" i="29"/>
  <c r="B159" i="11"/>
  <c r="C159" i="11"/>
  <c r="D159" i="11"/>
  <c r="D158" i="11"/>
  <c r="C158" i="11"/>
  <c r="B158" i="11"/>
  <c r="C157" i="11"/>
  <c r="B155" i="11"/>
  <c r="B154" i="11"/>
  <c r="B152" i="11"/>
  <c r="D144" i="11"/>
  <c r="C144" i="11"/>
  <c r="F122" i="11"/>
  <c r="F129" i="11" s="1"/>
  <c r="F123" i="11"/>
  <c r="F124" i="11"/>
  <c r="F125" i="11"/>
  <c r="F126" i="11"/>
  <c r="F127" i="11"/>
  <c r="G122" i="11"/>
  <c r="G129" i="11" s="1"/>
  <c r="G123" i="11"/>
  <c r="G124" i="11"/>
  <c r="G125" i="11"/>
  <c r="G126" i="11"/>
  <c r="G127" i="11"/>
  <c r="E122" i="11"/>
  <c r="E123" i="11"/>
  <c r="E124" i="11"/>
  <c r="E125" i="11"/>
  <c r="E126" i="11"/>
  <c r="E127" i="11"/>
  <c r="E129" i="11"/>
  <c r="D122" i="11"/>
  <c r="D123" i="11"/>
  <c r="D124" i="11"/>
  <c r="D125" i="11"/>
  <c r="D129" i="11" s="1"/>
  <c r="D126" i="11"/>
  <c r="D127" i="11"/>
  <c r="C122" i="11"/>
  <c r="C129" i="11" s="1"/>
  <c r="C123" i="11"/>
  <c r="C124" i="11"/>
  <c r="C125" i="11"/>
  <c r="C126" i="11"/>
  <c r="C127" i="11"/>
  <c r="D107" i="11"/>
  <c r="D114" i="11" s="1"/>
  <c r="D108" i="11"/>
  <c r="D109" i="11"/>
  <c r="D110" i="11"/>
  <c r="D111" i="11"/>
  <c r="D112" i="11"/>
  <c r="E107" i="11"/>
  <c r="E108" i="11"/>
  <c r="E109" i="11"/>
  <c r="E110" i="11"/>
  <c r="E111" i="11"/>
  <c r="E112" i="11"/>
  <c r="E114" i="11"/>
  <c r="C107" i="11"/>
  <c r="C108" i="11"/>
  <c r="C109" i="11"/>
  <c r="C110" i="11"/>
  <c r="C114" i="11" s="1"/>
  <c r="C111" i="11"/>
  <c r="C112" i="11"/>
  <c r="R46" i="11"/>
  <c r="E46" i="11"/>
  <c r="S46" i="11" s="1"/>
  <c r="T46" i="11"/>
  <c r="G46" i="11"/>
  <c r="U46" i="11" s="1"/>
  <c r="V46" i="11"/>
  <c r="I46" i="11"/>
  <c r="W46" i="11"/>
  <c r="X46" i="11"/>
  <c r="K46" i="11"/>
  <c r="Y46" i="11"/>
  <c r="Z46" i="11"/>
  <c r="M46" i="11"/>
  <c r="AA46" i="11" s="1"/>
  <c r="AB46" i="11"/>
  <c r="R47" i="11"/>
  <c r="E47" i="11"/>
  <c r="S47" i="11" s="1"/>
  <c r="T47" i="11"/>
  <c r="G47" i="11"/>
  <c r="U47" i="11" s="1"/>
  <c r="V47" i="11"/>
  <c r="I47" i="11"/>
  <c r="W47" i="11"/>
  <c r="X47" i="11"/>
  <c r="K47" i="11"/>
  <c r="Y47" i="11"/>
  <c r="Z47" i="11"/>
  <c r="M47" i="11"/>
  <c r="AA47" i="11" s="1"/>
  <c r="AB47" i="11"/>
  <c r="R48" i="11"/>
  <c r="E48" i="11"/>
  <c r="S48" i="11" s="1"/>
  <c r="T48" i="11"/>
  <c r="G48" i="11"/>
  <c r="U48" i="11" s="1"/>
  <c r="V48" i="11"/>
  <c r="I48" i="11"/>
  <c r="W48" i="11"/>
  <c r="X48" i="11"/>
  <c r="K48" i="11"/>
  <c r="Y48" i="11"/>
  <c r="Z48" i="11"/>
  <c r="M48" i="11"/>
  <c r="AA48" i="11" s="1"/>
  <c r="AB48" i="11"/>
  <c r="R49" i="11"/>
  <c r="E49" i="11"/>
  <c r="S49" i="11" s="1"/>
  <c r="T49" i="11"/>
  <c r="G49" i="11"/>
  <c r="U49" i="11" s="1"/>
  <c r="V49" i="11"/>
  <c r="I49" i="11"/>
  <c r="W49" i="11"/>
  <c r="X49" i="11"/>
  <c r="K49" i="11"/>
  <c r="Y49" i="11"/>
  <c r="Z49" i="11"/>
  <c r="M49" i="11"/>
  <c r="AA49" i="11" s="1"/>
  <c r="AB49" i="11"/>
  <c r="R50" i="11"/>
  <c r="E50" i="11"/>
  <c r="S50" i="11" s="1"/>
  <c r="T50" i="11"/>
  <c r="G50" i="11"/>
  <c r="U50" i="11" s="1"/>
  <c r="V50" i="11"/>
  <c r="I50" i="11"/>
  <c r="W50" i="11"/>
  <c r="X50" i="11"/>
  <c r="K50" i="11"/>
  <c r="Y50" i="11"/>
  <c r="Z50" i="11"/>
  <c r="M50" i="11"/>
  <c r="AA50" i="11" s="1"/>
  <c r="AB50" i="11"/>
  <c r="R51" i="11"/>
  <c r="E51" i="11"/>
  <c r="S51" i="11" s="1"/>
  <c r="T51" i="11"/>
  <c r="G51" i="11"/>
  <c r="U51" i="11" s="1"/>
  <c r="V51" i="11"/>
  <c r="I51" i="11"/>
  <c r="W51" i="11"/>
  <c r="X51" i="11"/>
  <c r="K51" i="11"/>
  <c r="Y51" i="11"/>
  <c r="Z51" i="11"/>
  <c r="M51" i="11"/>
  <c r="AA51" i="11" s="1"/>
  <c r="AB51" i="11"/>
  <c r="Q47" i="11"/>
  <c r="Q48" i="11"/>
  <c r="Q49" i="11"/>
  <c r="Q50" i="11"/>
  <c r="Q51" i="11"/>
  <c r="Q46" i="11"/>
  <c r="R35" i="11"/>
  <c r="E35" i="11"/>
  <c r="S35" i="11"/>
  <c r="T35" i="11"/>
  <c r="G35" i="11"/>
  <c r="U35" i="11"/>
  <c r="V35" i="11"/>
  <c r="I35" i="11"/>
  <c r="W35" i="11"/>
  <c r="X35" i="11"/>
  <c r="K35" i="11"/>
  <c r="Y35" i="11" s="1"/>
  <c r="Z35" i="11"/>
  <c r="M35" i="11"/>
  <c r="AA35" i="11"/>
  <c r="AB35" i="11"/>
  <c r="R36" i="11"/>
  <c r="E36" i="11"/>
  <c r="S36" i="11"/>
  <c r="T36" i="11"/>
  <c r="G36" i="11"/>
  <c r="U36" i="11"/>
  <c r="V36" i="11"/>
  <c r="I36" i="11"/>
  <c r="W36" i="11"/>
  <c r="X36" i="11"/>
  <c r="K36" i="11"/>
  <c r="Y36" i="11" s="1"/>
  <c r="Z36" i="11"/>
  <c r="M36" i="11"/>
  <c r="AA36" i="11"/>
  <c r="AB36" i="11"/>
  <c r="R37" i="11"/>
  <c r="E37" i="11"/>
  <c r="S37" i="11"/>
  <c r="T37" i="11"/>
  <c r="G37" i="11"/>
  <c r="U37" i="11"/>
  <c r="V37" i="11"/>
  <c r="I37" i="11"/>
  <c r="W37" i="11"/>
  <c r="X37" i="11"/>
  <c r="K37" i="11"/>
  <c r="Y37" i="11" s="1"/>
  <c r="Z37" i="11"/>
  <c r="M37" i="11"/>
  <c r="AA37" i="11"/>
  <c r="AB37" i="11"/>
  <c r="R38" i="11"/>
  <c r="E38" i="11"/>
  <c r="S38" i="11"/>
  <c r="T38" i="11"/>
  <c r="G38" i="11"/>
  <c r="U38" i="11"/>
  <c r="V38" i="11"/>
  <c r="I38" i="11"/>
  <c r="W38" i="11"/>
  <c r="X38" i="11"/>
  <c r="K38" i="11"/>
  <c r="Y38" i="11" s="1"/>
  <c r="Z38" i="11"/>
  <c r="M38" i="11"/>
  <c r="AA38" i="11"/>
  <c r="AB38" i="11"/>
  <c r="R39" i="11"/>
  <c r="E39" i="11"/>
  <c r="S39" i="11"/>
  <c r="T39" i="11"/>
  <c r="G39" i="11"/>
  <c r="U39" i="11"/>
  <c r="V39" i="11"/>
  <c r="I39" i="11"/>
  <c r="W39" i="11"/>
  <c r="X39" i="11"/>
  <c r="K39" i="11"/>
  <c r="Y39" i="11" s="1"/>
  <c r="Z39" i="11"/>
  <c r="M39" i="11"/>
  <c r="AA39" i="11"/>
  <c r="AB39" i="11"/>
  <c r="R40" i="11"/>
  <c r="E40" i="11"/>
  <c r="S40" i="11"/>
  <c r="T40" i="11"/>
  <c r="G40" i="11"/>
  <c r="U40" i="11"/>
  <c r="V40" i="11"/>
  <c r="I40" i="11"/>
  <c r="W40" i="11"/>
  <c r="X40" i="11"/>
  <c r="K40" i="11"/>
  <c r="Y40" i="11" s="1"/>
  <c r="Z40" i="11"/>
  <c r="M40" i="11"/>
  <c r="AA40" i="11"/>
  <c r="AB40" i="11"/>
  <c r="Q36" i="11"/>
  <c r="Q37" i="11"/>
  <c r="Q38" i="11"/>
  <c r="Q39" i="11"/>
  <c r="Q40" i="11"/>
  <c r="Q35" i="11"/>
  <c r="K159" i="32"/>
  <c r="E159" i="32"/>
  <c r="J159" i="32"/>
  <c r="I159" i="32"/>
  <c r="H159" i="32"/>
  <c r="G159" i="32"/>
  <c r="F159" i="32"/>
  <c r="D159" i="32"/>
  <c r="C159" i="32"/>
  <c r="B159" i="32"/>
  <c r="I142" i="32"/>
  <c r="H142" i="32"/>
  <c r="G142" i="32"/>
  <c r="F142" i="32"/>
  <c r="E142" i="32"/>
  <c r="D142" i="32"/>
  <c r="C142" i="32"/>
  <c r="B142" i="32"/>
  <c r="G104" i="32"/>
  <c r="G105" i="32"/>
  <c r="G112" i="32" s="1"/>
  <c r="G106" i="32"/>
  <c r="G107" i="32"/>
  <c r="G108" i="32"/>
  <c r="G109" i="32"/>
  <c r="G110" i="32"/>
  <c r="G111" i="32"/>
  <c r="F112" i="32"/>
  <c r="E112" i="32"/>
  <c r="D112" i="32"/>
  <c r="C112" i="32"/>
  <c r="B112" i="32"/>
  <c r="C126" i="32"/>
  <c r="D126" i="32"/>
  <c r="E126" i="32"/>
  <c r="F126" i="32"/>
  <c r="G126" i="32"/>
  <c r="H126" i="32"/>
  <c r="I126" i="32"/>
  <c r="B126" i="32"/>
  <c r="C93" i="32"/>
  <c r="D93" i="32"/>
  <c r="E93" i="32"/>
  <c r="F93" i="32"/>
  <c r="G93" i="32"/>
  <c r="C94" i="32"/>
  <c r="D94" i="32"/>
  <c r="E94" i="32"/>
  <c r="F94" i="32"/>
  <c r="G94" i="32"/>
  <c r="C95" i="32"/>
  <c r="D95" i="32"/>
  <c r="E95" i="32"/>
  <c r="F95" i="32"/>
  <c r="G95" i="32"/>
  <c r="C96" i="32"/>
  <c r="D96" i="32"/>
  <c r="E96" i="32"/>
  <c r="F96" i="32"/>
  <c r="G96" i="32"/>
  <c r="D92" i="32"/>
  <c r="E92" i="32"/>
  <c r="F92" i="32"/>
  <c r="G92" i="32"/>
  <c r="C92" i="32"/>
  <c r="C45" i="32"/>
  <c r="D45" i="32"/>
  <c r="E45" i="32"/>
  <c r="F45" i="32"/>
  <c r="B45" i="32"/>
  <c r="B30" i="32"/>
  <c r="C30" i="32"/>
  <c r="D30" i="32"/>
  <c r="K30" i="32" s="1"/>
  <c r="E30" i="32"/>
  <c r="F30" i="32"/>
  <c r="G30" i="32"/>
  <c r="H30" i="32"/>
  <c r="I30" i="32"/>
  <c r="J30" i="32"/>
  <c r="K23" i="32"/>
  <c r="K24" i="32"/>
  <c r="K25" i="32"/>
  <c r="K26" i="32"/>
  <c r="K27" i="32"/>
  <c r="K28" i="32"/>
  <c r="K29" i="32"/>
  <c r="K22" i="32"/>
  <c r="C15" i="32"/>
  <c r="D15" i="32"/>
  <c r="E15" i="32"/>
  <c r="F15" i="32"/>
  <c r="G15" i="32"/>
  <c r="B15" i="32"/>
  <c r="H7" i="22"/>
  <c r="H8" i="22"/>
  <c r="H9" i="22"/>
  <c r="H6" i="22"/>
  <c r="L8" i="31"/>
  <c r="M8" i="31"/>
  <c r="N8" i="31"/>
  <c r="O8" i="31"/>
  <c r="L9" i="31"/>
  <c r="M9" i="31"/>
  <c r="N9" i="31"/>
  <c r="O9" i="31"/>
  <c r="L10" i="31"/>
  <c r="M10" i="31"/>
  <c r="N10" i="31"/>
  <c r="O10" i="31"/>
  <c r="L11" i="31"/>
  <c r="M11" i="31"/>
  <c r="N11" i="31"/>
  <c r="O11" i="31"/>
  <c r="L12" i="31"/>
  <c r="M12" i="31"/>
  <c r="N12" i="31"/>
  <c r="O12" i="31"/>
  <c r="L13" i="31"/>
  <c r="M13" i="31"/>
  <c r="N13" i="31"/>
  <c r="O13" i="31"/>
  <c r="L14" i="31"/>
  <c r="M14" i="31"/>
  <c r="N14" i="31"/>
  <c r="O14" i="31"/>
  <c r="L15" i="31"/>
  <c r="M15" i="31"/>
  <c r="N15" i="31"/>
  <c r="O15" i="31"/>
  <c r="L16" i="31"/>
  <c r="M16" i="31"/>
  <c r="N16" i="31"/>
  <c r="O16" i="31"/>
  <c r="L17" i="31"/>
  <c r="M17" i="31"/>
  <c r="N17" i="31"/>
  <c r="O17" i="31"/>
  <c r="N7" i="31"/>
  <c r="O7" i="31"/>
  <c r="M7" i="31"/>
  <c r="L7" i="31"/>
  <c r="F8" i="31"/>
  <c r="G8" i="31"/>
  <c r="F9" i="31"/>
  <c r="G9" i="31"/>
  <c r="F10" i="31"/>
  <c r="G10" i="31"/>
  <c r="F11" i="31"/>
  <c r="G11" i="31"/>
  <c r="F12" i="31"/>
  <c r="G12" i="31"/>
  <c r="F13" i="31"/>
  <c r="G13" i="31"/>
  <c r="F14" i="31"/>
  <c r="G14" i="31"/>
  <c r="F15" i="31"/>
  <c r="G15" i="31"/>
  <c r="F16" i="31"/>
  <c r="G16" i="31"/>
  <c r="F17" i="31"/>
  <c r="G17" i="31"/>
  <c r="G7" i="31"/>
  <c r="F7" i="31"/>
  <c r="C8" i="31"/>
  <c r="C9" i="31"/>
  <c r="C10" i="31"/>
  <c r="C11" i="31"/>
  <c r="C12" i="31"/>
  <c r="C13" i="31"/>
  <c r="C14" i="31"/>
  <c r="C15" i="31"/>
  <c r="C16" i="31"/>
  <c r="C17" i="31"/>
  <c r="C7" i="31"/>
  <c r="C19" i="23"/>
  <c r="I19" i="23" s="1"/>
  <c r="F19" i="23"/>
  <c r="C20" i="23"/>
  <c r="F20" i="23"/>
  <c r="I20" i="23"/>
  <c r="C21" i="23"/>
  <c r="F21" i="23"/>
  <c r="I21" i="23"/>
  <c r="C22" i="23"/>
  <c r="I22" i="23" s="1"/>
  <c r="F22" i="23"/>
  <c r="C23" i="23"/>
  <c r="I23" i="23" s="1"/>
  <c r="F23" i="23"/>
  <c r="C24" i="23"/>
  <c r="F24" i="23"/>
  <c r="I24" i="23"/>
  <c r="C25" i="23"/>
  <c r="F25" i="23"/>
  <c r="I25" i="23"/>
  <c r="C26" i="23"/>
  <c r="I26" i="23" s="1"/>
  <c r="F26" i="23"/>
  <c r="C27" i="23"/>
  <c r="I27" i="23" s="1"/>
  <c r="F27" i="23"/>
  <c r="C28" i="23"/>
  <c r="F28" i="23"/>
  <c r="I28" i="23"/>
  <c r="C29" i="23"/>
  <c r="F29" i="23"/>
  <c r="I29" i="23"/>
  <c r="C18" i="23"/>
  <c r="I18" i="23" s="1"/>
  <c r="F18" i="23"/>
  <c r="H19" i="23"/>
  <c r="H20" i="23"/>
  <c r="H21" i="23"/>
  <c r="H22" i="23"/>
  <c r="H23" i="23"/>
  <c r="H24" i="23"/>
  <c r="H25" i="23"/>
  <c r="H26" i="23"/>
  <c r="H27" i="23"/>
  <c r="H28" i="23"/>
  <c r="H29" i="23"/>
  <c r="H18" i="23"/>
  <c r="G19" i="23"/>
  <c r="G20" i="23"/>
  <c r="G21" i="23"/>
  <c r="G22" i="23"/>
  <c r="G23" i="23"/>
  <c r="G24" i="23"/>
  <c r="G25" i="23"/>
  <c r="G26" i="23"/>
  <c r="G27" i="23"/>
  <c r="G28" i="23"/>
  <c r="G29" i="23"/>
  <c r="G18" i="23"/>
  <c r="E19" i="23"/>
  <c r="E20" i="23"/>
  <c r="E21" i="23"/>
  <c r="E22" i="23"/>
  <c r="E23" i="23"/>
  <c r="E24" i="23"/>
  <c r="E25" i="23"/>
  <c r="E26" i="23"/>
  <c r="E27" i="23"/>
  <c r="E28" i="23"/>
  <c r="E29" i="23"/>
  <c r="E18" i="23"/>
  <c r="G206" i="34"/>
  <c r="G205" i="34"/>
  <c r="G204" i="34"/>
  <c r="G203" i="34"/>
  <c r="D25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2" i="34"/>
  <c r="D11" i="34"/>
  <c r="D10" i="34"/>
  <c r="H5" i="15"/>
  <c r="H24" i="15" s="1"/>
  <c r="I5" i="15"/>
  <c r="H7" i="15"/>
  <c r="I7" i="15" s="1"/>
  <c r="H9" i="15"/>
  <c r="I9" i="15"/>
  <c r="H11" i="15"/>
  <c r="I11" i="15" s="1"/>
  <c r="H13" i="15"/>
  <c r="I13" i="15"/>
  <c r="H15" i="15"/>
  <c r="I15" i="15" s="1"/>
  <c r="H17" i="15"/>
  <c r="I17" i="15"/>
  <c r="H19" i="15"/>
  <c r="I19" i="15" s="1"/>
  <c r="H21" i="15"/>
  <c r="I21" i="15"/>
  <c r="H23" i="15"/>
  <c r="I23" i="15" s="1"/>
  <c r="R5" i="15"/>
  <c r="R24" i="15" s="1"/>
  <c r="R7" i="15"/>
  <c r="S7" i="15"/>
  <c r="R9" i="15"/>
  <c r="S9" i="15" s="1"/>
  <c r="R11" i="15"/>
  <c r="S11" i="15"/>
  <c r="R13" i="15"/>
  <c r="S13" i="15" s="1"/>
  <c r="R15" i="15"/>
  <c r="S15" i="15"/>
  <c r="R17" i="15"/>
  <c r="S17" i="15" s="1"/>
  <c r="R19" i="15"/>
  <c r="S19" i="15"/>
  <c r="R21" i="15"/>
  <c r="S21" i="15" s="1"/>
  <c r="R23" i="15"/>
  <c r="S23" i="15"/>
  <c r="AB5" i="15"/>
  <c r="AC5" i="15" s="1"/>
  <c r="AB7" i="15"/>
  <c r="AB24" i="15" s="1"/>
  <c r="AC7" i="15"/>
  <c r="AB9" i="15"/>
  <c r="AC9" i="15" s="1"/>
  <c r="AB11" i="15"/>
  <c r="AC11" i="15"/>
  <c r="AB13" i="15"/>
  <c r="AC13" i="15" s="1"/>
  <c r="AB15" i="15"/>
  <c r="AC15" i="15"/>
  <c r="AB17" i="15"/>
  <c r="AC17" i="15" s="1"/>
  <c r="AB19" i="15"/>
  <c r="AC19" i="15"/>
  <c r="AB21" i="15"/>
  <c r="AC21" i="15" s="1"/>
  <c r="AB23" i="15"/>
  <c r="AC23" i="15"/>
  <c r="G5" i="15"/>
  <c r="G24" i="15" s="1"/>
  <c r="G7" i="15"/>
  <c r="G9" i="15"/>
  <c r="G11" i="15"/>
  <c r="G13" i="15"/>
  <c r="G15" i="15"/>
  <c r="G17" i="15"/>
  <c r="G19" i="15"/>
  <c r="G21" i="15"/>
  <c r="G23" i="15"/>
  <c r="AA5" i="15"/>
  <c r="AA24" i="15" s="1"/>
  <c r="AA7" i="15"/>
  <c r="AA9" i="15"/>
  <c r="AA11" i="15"/>
  <c r="AA13" i="15"/>
  <c r="AA15" i="15"/>
  <c r="AA17" i="15"/>
  <c r="AA19" i="15"/>
  <c r="AA21" i="15"/>
  <c r="AA23" i="15"/>
  <c r="Q5" i="15"/>
  <c r="Q24" i="15" s="1"/>
  <c r="Q7" i="15"/>
  <c r="Q9" i="15"/>
  <c r="Q11" i="15"/>
  <c r="Q13" i="15"/>
  <c r="Q15" i="15"/>
  <c r="Q17" i="15"/>
  <c r="Q19" i="15"/>
  <c r="Q21" i="15"/>
  <c r="Q23" i="15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B37" i="19"/>
  <c r="B38" i="19"/>
  <c r="B39" i="19"/>
  <c r="B40" i="19"/>
  <c r="B41" i="19"/>
  <c r="B42" i="19"/>
  <c r="B43" i="19"/>
  <c r="B44" i="19"/>
  <c r="B36" i="19"/>
  <c r="B7" i="19"/>
  <c r="C7" i="19"/>
  <c r="B8" i="19"/>
  <c r="C8" i="19"/>
  <c r="B9" i="19"/>
  <c r="C9" i="19"/>
  <c r="B10" i="19"/>
  <c r="C10" i="19"/>
  <c r="B11" i="19"/>
  <c r="C11" i="19"/>
  <c r="B12" i="19"/>
  <c r="C12" i="19"/>
  <c r="C6" i="19"/>
  <c r="B6" i="19"/>
  <c r="AC24" i="15" l="1"/>
  <c r="M220" i="8"/>
  <c r="F220" i="8"/>
  <c r="N220" i="8" s="1"/>
  <c r="I24" i="15"/>
  <c r="M219" i="8"/>
  <c r="F219" i="8"/>
  <c r="N219" i="8" s="1"/>
  <c r="S5" i="15"/>
  <c r="S24" i="15" s="1"/>
  <c r="L219" i="8"/>
  <c r="I7" i="25"/>
  <c r="J7" i="25" s="1"/>
  <c r="I11" i="25"/>
  <c r="J11" i="25" s="1"/>
  <c r="J20" i="25" s="1"/>
  <c r="I15" i="25"/>
  <c r="J15" i="25" s="1"/>
  <c r="I5" i="25"/>
  <c r="J5" i="25" s="1"/>
  <c r="U14" i="14"/>
  <c r="U10" i="14"/>
  <c r="U6" i="14"/>
  <c r="I6" i="25"/>
  <c r="J6" i="25" s="1"/>
  <c r="F27" i="15" l="1"/>
</calcChain>
</file>

<file path=xl/sharedStrings.xml><?xml version="1.0" encoding="utf-8"?>
<sst xmlns="http://schemas.openxmlformats.org/spreadsheetml/2006/main" count="2853" uniqueCount="1464">
  <si>
    <t>Tilia cordata</t>
  </si>
  <si>
    <t>Ulmus carpinifolia</t>
  </si>
  <si>
    <t>Abies alba</t>
  </si>
  <si>
    <t>Larix decidua</t>
  </si>
  <si>
    <t>Picea abies</t>
  </si>
  <si>
    <t>Pinus nigra</t>
  </si>
  <si>
    <t>Pinus banksiana</t>
  </si>
  <si>
    <t>Pinus sylvestris</t>
  </si>
  <si>
    <t>later on moist soils</t>
  </si>
  <si>
    <t>Pseudotsuga menziesii</t>
  </si>
  <si>
    <t>Taxus baccata</t>
  </si>
  <si>
    <t>SDW, Amann</t>
  </si>
  <si>
    <t>g cm-3</t>
  </si>
  <si>
    <t>source CMA-Faltblätter</t>
  </si>
  <si>
    <t>rho at 0% humidity</t>
  </si>
  <si>
    <t>rho at 15% humidity</t>
  </si>
  <si>
    <t>rho of fresh wood</t>
  </si>
  <si>
    <t>Schwindmaß frisch auf gedarrt in %</t>
  </si>
  <si>
    <t>min</t>
  </si>
  <si>
    <t>ave</t>
  </si>
  <si>
    <t>max</t>
  </si>
  <si>
    <t>längs</t>
  </si>
  <si>
    <t>radial</t>
  </si>
  <si>
    <t>tangential</t>
  </si>
  <si>
    <t>Volumen</t>
  </si>
  <si>
    <t>g TS/ cm3 frisch</t>
  </si>
  <si>
    <t>kg TS/ cm3 Frischvolumen</t>
  </si>
  <si>
    <t>Pinus strobus</t>
  </si>
  <si>
    <t>Quercus robur / petraea</t>
  </si>
  <si>
    <t>Fraxinus excelsior</t>
  </si>
  <si>
    <t>Acer pseudoplatanus</t>
  </si>
  <si>
    <t>Acer platanoides</t>
  </si>
  <si>
    <t>Ulmus carpinifolia / glabra</t>
  </si>
  <si>
    <t>Robinia pseudoacacia</t>
  </si>
  <si>
    <t>Populus nigra</t>
  </si>
  <si>
    <t>Salix sp.</t>
  </si>
  <si>
    <t>Alnus sp.</t>
  </si>
  <si>
    <t>Tilia sp.</t>
  </si>
  <si>
    <t>Betula sp.</t>
  </si>
  <si>
    <t>Aesculus hippocastaneum</t>
  </si>
  <si>
    <t>Prunus avium</t>
  </si>
  <si>
    <t>Juglans regia</t>
  </si>
  <si>
    <t>source:</t>
  </si>
  <si>
    <t>Centrale Marketinggesellschaft der deutschen Agrarwirtschaft m.b.H. (CMA) und Arbeitsgemeinschaft Holz e.V. (1986): Einheimische Nutzhölzer (Loseblattsammlung). Selbstverlag, Bonn, 21 Blätter</t>
  </si>
  <si>
    <t>Laborversuch</t>
  </si>
  <si>
    <t>einjährige Pflanzen für Birke und Aspe (beginnend im Stadium der voll entfalteten Keimblätter)</t>
  </si>
  <si>
    <t>zweijährige Pflanzen für Fichte und Kiefer</t>
  </si>
  <si>
    <t>Table 2:</t>
  </si>
  <si>
    <t>Primary and derived data for Betula verrucosa, Populus tremula, Pinus sylvestris, Picea abies und Helianthus annuus var. Bismarckianus</t>
  </si>
  <si>
    <t>Specific leaf area = ration between leaf area and leaf dry weight.</t>
  </si>
  <si>
    <t>Tabelle 5: Entwicklung von Stockausschlägen und Wurzelbrut:</t>
  </si>
  <si>
    <t>mittlere Anz. Aufw. / Stock:</t>
  </si>
  <si>
    <t>Wurzelbrut</t>
  </si>
  <si>
    <t>% Wurzelbrut</t>
  </si>
  <si>
    <t>% Stockausschl.</t>
  </si>
  <si>
    <t>Sorte</t>
  </si>
  <si>
    <t>10 (Astria)</t>
  </si>
  <si>
    <t>Mittelwerte:</t>
  </si>
  <si>
    <t>Table 7: Biomasseerträge (t atro 7 ha) und dGZ / a (t atro (ha*a) bei 0.6 x2.0 m-Verband und U = 5 J.</t>
  </si>
  <si>
    <t>Biomasse:</t>
  </si>
  <si>
    <t>1. Umtrieb</t>
  </si>
  <si>
    <t>2. Umtrieb</t>
  </si>
  <si>
    <t>dGZ:</t>
  </si>
  <si>
    <t>Table 8: Biomasseerträge (t atro / ha) bei 0.9 x 2.0 m- und 1.2 x 2.0 m -Verband, U = 10J.</t>
  </si>
  <si>
    <t>0.9 x 2.0 m (5555 / ha)</t>
  </si>
  <si>
    <t>1.2 x 2.0 m (4167 / ha)</t>
  </si>
  <si>
    <t>Table 9: dGZ (t atro / ha) bei 0.9 x 2.0 m- und 1.2 x 2.0 m -Verband, U = 10J.</t>
  </si>
  <si>
    <t>A = leaf area. W = dry weight. Suffixes 1 and 2 denote first and second harvest.</t>
  </si>
  <si>
    <t>Anmerkung: SLA vermutlich wie in Tabelle 1 der Publikation angeg. Als einseitg, bzw. bei Nadelbäumen einseitig projezierte Fläche</t>
  </si>
  <si>
    <t>Species and harvest interval</t>
  </si>
  <si>
    <t>Time</t>
  </si>
  <si>
    <t>No. Of plants harvested</t>
  </si>
  <si>
    <t>Dry weight mg</t>
  </si>
  <si>
    <t>Leaf area ratio cm2/ g</t>
  </si>
  <si>
    <t>Leaf area index</t>
  </si>
  <si>
    <t>W2/W1</t>
  </si>
  <si>
    <t>A2/A1</t>
  </si>
  <si>
    <t>Net assim. rate g/ m2 and week</t>
  </si>
  <si>
    <t>Var. Net assim. Rate +/- g/ m2 and week</t>
  </si>
  <si>
    <t>Table 1: Stand age, species, density … in2001</t>
  </si>
  <si>
    <t xml:space="preserve">stand age </t>
  </si>
  <si>
    <t>species</t>
  </si>
  <si>
    <t>No./ha</t>
  </si>
  <si>
    <t>basal area</t>
  </si>
  <si>
    <t>height</t>
  </si>
  <si>
    <t>aspen</t>
  </si>
  <si>
    <t>Mean leaf area ratio cm2/ g</t>
  </si>
  <si>
    <t>Var. Mean leaf area ratio +/- cm2/ g</t>
  </si>
  <si>
    <t>Relative growth rate mg/ g and week</t>
  </si>
  <si>
    <t>Var.Relative growth rate +/- mg/ g and week</t>
  </si>
  <si>
    <t>Betula verrucosa</t>
  </si>
  <si>
    <t>t1</t>
  </si>
  <si>
    <t>20 days</t>
  </si>
  <si>
    <t>t2</t>
  </si>
  <si>
    <t>42 days</t>
  </si>
  <si>
    <t>61 days</t>
  </si>
  <si>
    <t>Helianthus annuus</t>
  </si>
  <si>
    <t>8 days</t>
  </si>
  <si>
    <t>Table 4:</t>
  </si>
  <si>
    <t>Primary and derived data for Betula verrucosa and Populus tremula in a growth room at low (2.6-3.8 x 104 erg/ cm2 x sec)</t>
  </si>
  <si>
    <t>intensity. All plants were growing in similar culture solution. For explanations see table 2</t>
  </si>
  <si>
    <t>Light</t>
  </si>
  <si>
    <t>Low</t>
  </si>
  <si>
    <t>21 days</t>
  </si>
  <si>
    <t>12 days</t>
  </si>
  <si>
    <t>High</t>
  </si>
  <si>
    <t>9 days</t>
  </si>
  <si>
    <t>5 days</t>
  </si>
  <si>
    <t>Table 7:</t>
  </si>
  <si>
    <t>The weight of water-saturated, mature leaf discs (0.7 cm diameter) or needle segments (0.7 cm long)in relation to the dry weight.</t>
  </si>
  <si>
    <t>Solution = plants grown in solution culture, as described in the text; Soil = plants grown in well-watered soil in tje lower light intensity</t>
  </si>
  <si>
    <t>Wolf, H. &amp; B. Böhnisch (2003)</t>
  </si>
  <si>
    <t>Wolf</t>
  </si>
  <si>
    <t>Anbauversuche mit Pappeln und Aspen in Sachsen, für Energie- und Papierholz</t>
  </si>
  <si>
    <t>Aspe, Pa</t>
  </si>
  <si>
    <t>Wolf, H. &amp; B. Böhnisch (2003): Modellvorhaben StoraEnso / Verbundvorhaben Pappelanbau für die Papierherstellung: Teilvorhaben Anbau von Pappeln und Aspen auf potentiellen landwirtschaftlichen Stilllegungsflächen unter Berücksichtigung ökologischer Gesichtspunkte (Phase I). / Monitoring von Pappelanbauten auf landwirtschaftlichen Stilllegungsflächen unter besonderer Berücksichtigung ökologischer Gesichtspunkte (Phase II). Pirna, 73 S.</t>
  </si>
  <si>
    <t>Tabelle 1: Lage und klimatische Verhältnisse ...</t>
  </si>
  <si>
    <t>Fläche</t>
  </si>
  <si>
    <t>Wuchsgebiet</t>
  </si>
  <si>
    <t>Höhe ü. NN</t>
  </si>
  <si>
    <t>T / Jahr (°C)</t>
  </si>
  <si>
    <t>Nds. (mm / J.)</t>
  </si>
  <si>
    <t>Vornutzung</t>
  </si>
  <si>
    <t>Skäßchen</t>
  </si>
  <si>
    <t>Nochten</t>
  </si>
  <si>
    <t>Methau 2</t>
  </si>
  <si>
    <t>Thammenhain</t>
  </si>
  <si>
    <t>Arnsfeld</t>
  </si>
  <si>
    <t>Düben-Niederlausitzer Altmoränenland</t>
  </si>
  <si>
    <t>Erzgebirge</t>
  </si>
  <si>
    <t>Sächsisch-thüringisches Löß-Hügelland</t>
  </si>
  <si>
    <t>180 - 220</t>
  </si>
  <si>
    <t>600 - 650</t>
  </si>
  <si>
    <t>&lt; 7.0</t>
  </si>
  <si>
    <t>Acker</t>
  </si>
  <si>
    <t>Acker / Brache</t>
  </si>
  <si>
    <t>Wildwiese</t>
  </si>
  <si>
    <t>Acker / Agrarflugplatz</t>
  </si>
  <si>
    <t>Tabelle 3: Standortsverhältnisse</t>
  </si>
  <si>
    <t>Bodentyp</t>
  </si>
  <si>
    <t>Bodenarten</t>
  </si>
  <si>
    <t>Ausgangssubstrat</t>
  </si>
  <si>
    <t>Bodenwertzahl</t>
  </si>
  <si>
    <t>Braunerde / Humusbraunerde</t>
  </si>
  <si>
    <t>Regosol aus flachem Sandlehm</t>
  </si>
  <si>
    <t>Braunerde / PsGl-BrE / BrE - PsGley</t>
  </si>
  <si>
    <t>PsGl-BrE / BrE - PsGley</t>
  </si>
  <si>
    <t>Braunerde</t>
  </si>
  <si>
    <t>lS, uS, sL</t>
  </si>
  <si>
    <t>L / uL / sU</t>
  </si>
  <si>
    <t>L, sL, S</t>
  </si>
  <si>
    <t>T, S, uS</t>
  </si>
  <si>
    <t>Lößsande, S, lS</t>
  </si>
  <si>
    <t>Sand über kiesführendem Sand</t>
  </si>
  <si>
    <t>kohleführender Kipplehmsand, Kippreinsand, Lehmtonbrocken</t>
  </si>
  <si>
    <t>Löß / Ton- u. Schalsteinschiefer / altdiluvialer Glazialkies und -sand</t>
  </si>
  <si>
    <t>Löß</t>
  </si>
  <si>
    <t>Gneis</t>
  </si>
  <si>
    <t>Name</t>
  </si>
  <si>
    <t>Sektion</t>
  </si>
  <si>
    <t>botanischer Name</t>
  </si>
  <si>
    <t>Zulassung in D</t>
  </si>
  <si>
    <t>Bemerkung</t>
  </si>
  <si>
    <t>Tabelle 4: Merkmale des verwendeten Vermehrungsgutes (Auszug)</t>
  </si>
  <si>
    <t>Ahle 1 - 20</t>
  </si>
  <si>
    <t>Graupa III</t>
  </si>
  <si>
    <t>Spechtshausen</t>
  </si>
  <si>
    <t>Astria</t>
  </si>
  <si>
    <t>Münden 1 - 20</t>
  </si>
  <si>
    <t>Leuce</t>
  </si>
  <si>
    <t>Populus tremula x tremula</t>
  </si>
  <si>
    <t>P. tremula x tremuloides - 3n-</t>
  </si>
  <si>
    <t>P. tremula x tremuloides</t>
  </si>
  <si>
    <t>ja</t>
  </si>
  <si>
    <t>nein</t>
  </si>
  <si>
    <t>Mehrklonsorte</t>
  </si>
  <si>
    <t>Tabelle 5: Vertzeilung der Klone auf die Versuchsflächen (Auszug)</t>
  </si>
  <si>
    <t>Referenzsorte Aspe</t>
  </si>
  <si>
    <t>x (Nachb. 99)</t>
  </si>
  <si>
    <t>Tabelle 6: Versuchsflächenmerkmale und Verteilung der Versuchsvarianten auf die Flächen</t>
  </si>
  <si>
    <t>Fläche / ha</t>
  </si>
  <si>
    <t>Anlagezeitpunkt</t>
  </si>
  <si>
    <t>Anzahl Klone / Mischungen</t>
  </si>
  <si>
    <t>Anbauversuch</t>
  </si>
  <si>
    <t>Pflanzverband</t>
  </si>
  <si>
    <t>Begleitmaßnahmen</t>
  </si>
  <si>
    <t>04 / 98</t>
  </si>
  <si>
    <t>04 / 99</t>
  </si>
  <si>
    <t>03 - 04 / 99</t>
  </si>
  <si>
    <t>Bodenvorbehandlung</t>
  </si>
  <si>
    <t>x (nur Sukz.str.)</t>
  </si>
  <si>
    <t>Tabelle 7: Verteilung auf die Versuchsvarianten:</t>
  </si>
  <si>
    <t>Variante</t>
  </si>
  <si>
    <t>Biomasseerhebung</t>
  </si>
  <si>
    <t>Ahle, Astria, Münden, Spechtshausen (Graupa III, Nachb. '99)</t>
  </si>
  <si>
    <t>Ahle, Münden, Spechtshausen</t>
  </si>
  <si>
    <t>Münden, Graupa III</t>
  </si>
  <si>
    <t>Münden</t>
  </si>
  <si>
    <t>growth room; Sundmo =leaves from the exposed sight of young trees at Sundmo Research Station, Ängermanland, in July.</t>
  </si>
  <si>
    <t xml:space="preserve">The figures for the herbaceous species are significantly higher (P = 0.001) than for the tree species. Sundmo figuires are significantly lower (P = 0.01) </t>
  </si>
  <si>
    <t xml:space="preserve">than Soil for Betula verrucosa and for Populus tremula and significantly lower (P = 0.01) than Solution for Picea abies. </t>
  </si>
  <si>
    <t>Saturated weight/ Dry weight</t>
  </si>
  <si>
    <t>Solution</t>
  </si>
  <si>
    <t>Soil</t>
  </si>
  <si>
    <t>Sundmo</t>
  </si>
  <si>
    <t>-</t>
  </si>
  <si>
    <t>Lupinus albus</t>
  </si>
  <si>
    <t>Source:</t>
  </si>
  <si>
    <t>Jarvis, P.G., Jarvis, M.S. (1964): Growth rates of woody plants. Physiologia Plantarum 17, 654-660</t>
  </si>
  <si>
    <r>
      <t>in soil in a growth room (20°C, 18 hr. photoperiod, 2.6-3.8 x 10</t>
    </r>
    <r>
      <rPr>
        <b/>
        <vertAlign val="superscript"/>
        <sz val="10"/>
        <rFont val="MS Sans Serif"/>
        <family val="2"/>
      </rPr>
      <t>4</t>
    </r>
    <r>
      <rPr>
        <b/>
        <sz val="10"/>
        <rFont val="MS Sans Serif"/>
        <family val="2"/>
      </rPr>
      <t xml:space="preserve"> erg/ cm</t>
    </r>
    <r>
      <rPr>
        <b/>
        <vertAlign val="superscript"/>
        <sz val="10"/>
        <rFont val="MS Sans Serif"/>
        <family val="2"/>
      </rPr>
      <t>2</t>
    </r>
    <r>
      <rPr>
        <b/>
        <sz val="10"/>
        <rFont val="MS Sans Serif"/>
        <family val="2"/>
      </rPr>
      <t xml:space="preserve"> x sec visible light). Leaf area ratio = ration between leaf area and total plant dry weight. </t>
    </r>
  </si>
  <si>
    <r>
      <t>Leaf area cm</t>
    </r>
    <r>
      <rPr>
        <vertAlign val="superscript"/>
        <sz val="10"/>
        <rFont val="MS Sans Serif"/>
        <family val="2"/>
      </rPr>
      <t>2</t>
    </r>
  </si>
  <si>
    <r>
      <t>Var. Leaf area ratio +/- cm</t>
    </r>
    <r>
      <rPr>
        <vertAlign val="superscript"/>
        <sz val="10"/>
        <rFont val="MS Sans Serif"/>
        <family val="2"/>
      </rPr>
      <t>2</t>
    </r>
  </si>
  <si>
    <r>
      <t>Specific leaf area cm</t>
    </r>
    <r>
      <rPr>
        <vertAlign val="superscript"/>
        <sz val="10"/>
        <rFont val="MS Sans Serif"/>
        <family val="2"/>
      </rPr>
      <t>2</t>
    </r>
    <r>
      <rPr>
        <sz val="10"/>
        <rFont val="MS Sans Serif"/>
        <family val="2"/>
      </rPr>
      <t>/ g</t>
    </r>
  </si>
  <si>
    <r>
      <t>Var. Specific leaf area +/- cm</t>
    </r>
    <r>
      <rPr>
        <vertAlign val="superscript"/>
        <sz val="10"/>
        <rFont val="MS Sans Serif"/>
        <family val="2"/>
      </rPr>
      <t>2</t>
    </r>
    <r>
      <rPr>
        <sz val="10"/>
        <rFont val="MS Sans Serif"/>
        <family val="2"/>
      </rPr>
      <t>/ g</t>
    </r>
  </si>
  <si>
    <r>
      <t>and high (6.4-7.5 x 10</t>
    </r>
    <r>
      <rPr>
        <b/>
        <vertAlign val="superscript"/>
        <sz val="10"/>
        <rFont val="MS Sans Serif"/>
        <family val="2"/>
      </rPr>
      <t>4</t>
    </r>
    <r>
      <rPr>
        <b/>
        <sz val="10"/>
        <rFont val="MS Sans Serif"/>
        <family val="2"/>
      </rPr>
      <t xml:space="preserve"> erg/ cm</t>
    </r>
    <r>
      <rPr>
        <b/>
        <vertAlign val="superscript"/>
        <sz val="10"/>
        <rFont val="MS Sans Serif"/>
        <family val="2"/>
      </rPr>
      <t>2</t>
    </r>
    <r>
      <rPr>
        <b/>
        <sz val="10"/>
        <rFont val="MS Sans Serif"/>
        <family val="2"/>
      </rPr>
      <t xml:space="preserve"> x sec) light intensities, and for Helianthus annuus var. Bismarckianus at the high light</t>
    </r>
  </si>
  <si>
    <t>Wurzelausbildung</t>
  </si>
  <si>
    <t>Biomasse, Durchmesser</t>
  </si>
  <si>
    <t>Stetter</t>
  </si>
  <si>
    <t>Streuzersetzung</t>
  </si>
  <si>
    <t>Jug</t>
  </si>
  <si>
    <t>Nährstoffgehalte, Ernährungssituation der Aspe</t>
  </si>
  <si>
    <t>Duchesne</t>
  </si>
  <si>
    <t>Johansson, T. (1999)</t>
  </si>
  <si>
    <t>Biomassegleichungen, H/D-Beziehung, Blattmassen, LAI</t>
  </si>
  <si>
    <t>Wurzelbiomasse, Wurzel-Spross-Verhältnis, Stockausschläge/Wurzelbrut - LAI</t>
  </si>
  <si>
    <t>Biomasse, Spross-Wurzel-Verhältnis</t>
  </si>
  <si>
    <t>Kronenbreite</t>
  </si>
  <si>
    <t>Kronenbreite aus ET Rätzel, Publ. Beetle</t>
  </si>
  <si>
    <t>Rätzel</t>
  </si>
  <si>
    <t>Leder</t>
  </si>
  <si>
    <t>ET Pappel, Kronenbreite</t>
  </si>
  <si>
    <t>Spreitungsgrad</t>
  </si>
  <si>
    <t>Sämlinge</t>
  </si>
  <si>
    <t>Shoot:root-biomass-ratio der Sämlinge, Peng &amp; Dang / Reighard &amp; Hanover</t>
  </si>
  <si>
    <t>Pinno</t>
  </si>
  <si>
    <t>Höhe-LAI-Beziehung, SLA</t>
  </si>
  <si>
    <t>Leaf mass-Height-relationship</t>
  </si>
  <si>
    <t>Ewers</t>
  </si>
  <si>
    <t>Alter-Dichte- / Alter-Höhe-Beziehung</t>
  </si>
  <si>
    <t>Stockausschläge</t>
  </si>
  <si>
    <t>Anzahl und Mortalität, ex Perala / Rydberg</t>
  </si>
  <si>
    <t>Bond-Lamberty, B., C. Wang &amp; S. T. Gower (2002): Aboveground and belowground biomass and sapwood area alloometric equations for six boreal tree species of northern Manitoba. CJFR 32: 1441 - 1450</t>
  </si>
  <si>
    <t>sites: wet --&gt; with Sphagnum spec.; well drained: similar BB</t>
  </si>
  <si>
    <t>Trembling aspen:</t>
  </si>
  <si>
    <t>D0 (range)</t>
  </si>
  <si>
    <t>n (stands)</t>
  </si>
  <si>
    <t>a</t>
  </si>
  <si>
    <t>d</t>
  </si>
  <si>
    <t>MSE</t>
  </si>
  <si>
    <t>Table 2: pooled biomass equations based on diameter at soil surface (excerpt). Equation: lg Y = a + b*lg(D0) + c*(age) + d*(lg(D0)*age)), biomass in g and sapwood area in cm^2</t>
  </si>
  <si>
    <t>total branch</t>
  </si>
  <si>
    <t>new branch</t>
  </si>
  <si>
    <t>old branch</t>
  </si>
  <si>
    <t>total foliage</t>
  </si>
  <si>
    <t>wood</t>
  </si>
  <si>
    <t>coarse root</t>
  </si>
  <si>
    <t>sapwood (cm^2)</t>
  </si>
  <si>
    <t>0.2 - 8.4</t>
  </si>
  <si>
    <t>0.5 - 2.5</t>
  </si>
  <si>
    <t>0.3 - 1.6</t>
  </si>
  <si>
    <t>Table 3: pooled biomass equations based on diameter at breast height (excerpt). Equation: lg Y = a + b*lg(D0) + c*(age) + d*(lg(D0)*age)), biomass in g and sapwood area in cm^2</t>
  </si>
  <si>
    <t>0.3 - 23.7</t>
  </si>
  <si>
    <t>0.4 - 23.7</t>
  </si>
  <si>
    <t>0.2 - 23.7</t>
  </si>
  <si>
    <t>Table 5: Sapwood area as a proportion of of stem cross sectional area, by species, measured at soil surface (D0) and breast height (DBH, 1.37m)</t>
  </si>
  <si>
    <t>trembling aspen</t>
  </si>
  <si>
    <t>dry</t>
  </si>
  <si>
    <t>wet</t>
  </si>
  <si>
    <t>D0</t>
  </si>
  <si>
    <t>(SD)</t>
  </si>
  <si>
    <t>DBH</t>
  </si>
  <si>
    <t>Paper birch</t>
  </si>
  <si>
    <t>Bond_L</t>
  </si>
  <si>
    <t>Sapwood area, coarse roots, allometric equations, two site types</t>
  </si>
  <si>
    <t>Tabelle 9</t>
  </si>
  <si>
    <t xml:space="preserve">Intensität der Wurzelatmung bei Jungpflanzen verschiedener Baumarten. (In 24 Stunden bei voller Belichtung und </t>
  </si>
  <si>
    <t>bei 20° Wärme ausgeschiedene CO2-Menge in mg je g Trockengewicht der Wurzeln)</t>
  </si>
  <si>
    <t>(Nach Eidmann, 1943)</t>
  </si>
  <si>
    <t>Baumart</t>
  </si>
  <si>
    <t>Wert</t>
  </si>
  <si>
    <t>Kiefer-Ost</t>
  </si>
  <si>
    <t>Lärche</t>
  </si>
  <si>
    <t>Douglasie</t>
  </si>
  <si>
    <t>Kiefer-Rhein</t>
  </si>
  <si>
    <t>Tanne</t>
  </si>
  <si>
    <t>Pappel</t>
  </si>
  <si>
    <t>Birke</t>
  </si>
  <si>
    <t>Erle</t>
  </si>
  <si>
    <t>Linde</t>
  </si>
  <si>
    <t>Hainbuche</t>
  </si>
  <si>
    <t>Stieleiche</t>
  </si>
  <si>
    <t>Ahorn</t>
  </si>
  <si>
    <t>Traubeneiche</t>
  </si>
  <si>
    <t>Tabelle 6</t>
  </si>
  <si>
    <t>(Nach Eidmann 1943)</t>
  </si>
  <si>
    <t>Ostkiefer</t>
  </si>
  <si>
    <t>Rheintalkiefer</t>
  </si>
  <si>
    <t>Alter</t>
  </si>
  <si>
    <t>Quelle:</t>
  </si>
  <si>
    <t>KÖSTLER, J.N.; BRÜCKNER, E.; BIBELRIETHER, H. (1968): Die Wurzeln der Waldbäume. Verlag Paul Parey Hamburg und Berlin, 284 S.</t>
  </si>
  <si>
    <t>weitere Originalquellen:</t>
  </si>
  <si>
    <t>Eidmann, F.E. (1943): Untersuchungen über die Wurzelatmung und Transpiration unserer Hauptholzarten. Schriftr. Akad. Dt. Forstw.</t>
  </si>
  <si>
    <t>Erteld, W. (1942): Die Birkenwurzel auf armen Sandböden mit vergleichsweisen Beobachtungen an den Kiefernwurzeln. Zeitschr. Forst- u. Jagdw. 74, 193-215</t>
  </si>
  <si>
    <t>Iwanow, L.A. (1953): (Über den Apparat der Saugwurzeln bei Waldholzartenin der UdSSR) (russisch). Dklo. AN SSSR.</t>
  </si>
  <si>
    <t>Ovington, J.D. (1957): Dry matter production by Pinus silvetris L. Ann. Bot. N. S.</t>
  </si>
  <si>
    <r>
      <t>Wassermenge in cm</t>
    </r>
    <r>
      <rPr>
        <vertAlign val="superscript"/>
        <sz val="10"/>
        <rFont val="MS Sans Serif"/>
        <family val="2"/>
      </rPr>
      <t>3</t>
    </r>
    <r>
      <rPr>
        <sz val="10"/>
        <rFont val="MS Sans Serif"/>
        <family val="2"/>
      </rPr>
      <t>, die innerhalb von 24 Stunden i.D. von Mai bis September bezogen auf 1 g Trockengewicht der Blattorgane aufgenommen wurde</t>
    </r>
  </si>
  <si>
    <r>
      <t>cm</t>
    </r>
    <r>
      <rPr>
        <b/>
        <vertAlign val="superscript"/>
        <sz val="10"/>
        <rFont val="MS Sans Serif"/>
        <family val="2"/>
      </rPr>
      <t>3</t>
    </r>
    <r>
      <rPr>
        <b/>
        <sz val="10"/>
        <rFont val="MS Sans Serif"/>
        <family val="2"/>
      </rPr>
      <t xml:space="preserve"> (H</t>
    </r>
    <r>
      <rPr>
        <b/>
        <vertAlign val="subscript"/>
        <sz val="10"/>
        <rFont val="MS Sans Serif"/>
        <family val="2"/>
      </rPr>
      <t>2</t>
    </r>
    <r>
      <rPr>
        <b/>
        <sz val="10"/>
        <rFont val="MS Sans Serif"/>
        <family val="2"/>
      </rPr>
      <t>O)</t>
    </r>
  </si>
  <si>
    <t>Tabelle 2.10</t>
  </si>
  <si>
    <t>(S. 76)</t>
  </si>
  <si>
    <t xml:space="preserve">Elementkonzentrationen in den Blättern forstlich genutzter Laubbäume. </t>
  </si>
  <si>
    <t>Elemente = N, P, K, Ca, Mg, Mn, Fe, Zn, Cu, B</t>
  </si>
  <si>
    <t>ähnliche Tabelle zu Nadelhölzern, Tabelle 2.9 S. 74/ 75</t>
  </si>
  <si>
    <t>Element [% TM]</t>
  </si>
  <si>
    <t>N</t>
  </si>
  <si>
    <t>P</t>
  </si>
  <si>
    <t>K</t>
  </si>
  <si>
    <t>Ca</t>
  </si>
  <si>
    <t>Stadt &amp; Lieffers (2000, sta - 03)</t>
  </si>
  <si>
    <t>jeweils aus Min. - mean - max, aus Tabelle 1 im Text</t>
  </si>
  <si>
    <t>tree height (m)</t>
  </si>
  <si>
    <t>crown length (m)</t>
  </si>
  <si>
    <t>crown radius (m)</t>
  </si>
  <si>
    <t>crown volume (m^3)</t>
  </si>
  <si>
    <t>LAI:</t>
  </si>
  <si>
    <t>transmission (%):</t>
  </si>
  <si>
    <r>
      <t>foliage area density (m^2/m^</t>
    </r>
    <r>
      <rPr>
        <b/>
        <sz val="10"/>
        <rFont val="Arial"/>
        <family val="2"/>
      </rPr>
      <t>3</t>
    </r>
    <r>
      <rPr>
        <sz val="10"/>
        <rFont val="Arial"/>
      </rPr>
      <t>)</t>
    </r>
  </si>
  <si>
    <t>crown area (m^2)</t>
  </si>
  <si>
    <t>crown shape = ellipsoid, V = 4/3 * pi * a*b*c mit a, b, c : Radien in Breite, Höhe, Tiefe</t>
  </si>
  <si>
    <t>22 - 53, aber im Ggs. Zu Maßen keine Rechtfertigung fuer Zuordnng von Max. und min. zu kleinen und grossen Baeumen!</t>
  </si>
  <si>
    <t>Mg</t>
  </si>
  <si>
    <t>Birke (Betula pendula)</t>
  </si>
  <si>
    <t>0.84-2.71</t>
  </si>
  <si>
    <t>0.12-0.25</t>
  </si>
  <si>
    <t>0.66-0.95</t>
  </si>
  <si>
    <t>0.5-2.09</t>
  </si>
  <si>
    <t>0.19-0.3</t>
  </si>
  <si>
    <t>Abb. 5.10</t>
  </si>
  <si>
    <t>(S. 181)</t>
  </si>
  <si>
    <t>Tab. 5.9.A</t>
  </si>
  <si>
    <t>(S. 187)</t>
  </si>
  <si>
    <t>Mittlere Tages- und Jahressumme der Bestandestranspiration von Birke, Buche, Lärche, Kiefer und Douglasie</t>
  </si>
  <si>
    <t>Ta. 5.10</t>
  </si>
  <si>
    <t>(S. 188)</t>
  </si>
  <si>
    <t>Jährliche Transpiration von 21jährigen Beständen im Schwarzwald</t>
  </si>
  <si>
    <t>Douglasie, Kiefer, Buche, Birke</t>
  </si>
  <si>
    <t>siehe auch Tab. 5.11 S. 190</t>
  </si>
  <si>
    <t>Tab. 6.3</t>
  </si>
  <si>
    <t>(S. 232)</t>
  </si>
  <si>
    <t>Durchschnittliche Transpirationskoeffizienten der Produktivität (Mittel der Vegetationsperiode)</t>
  </si>
  <si>
    <t>für Birke, Buche, Eiche, Lärche, Douglasie, Fichte, Kiefer</t>
  </si>
  <si>
    <t>Ta. 6.4</t>
  </si>
  <si>
    <t>(S. 234)</t>
  </si>
  <si>
    <r>
      <t xml:space="preserve">Durchschnittliche Höchstwerte der </t>
    </r>
    <r>
      <rPr>
        <b/>
        <sz val="10"/>
        <rFont val="MS Sans Serif"/>
        <family val="2"/>
      </rPr>
      <t>Nettophotosynthese</t>
    </r>
    <r>
      <rPr>
        <sz val="10"/>
        <rFont val="Arial"/>
      </rPr>
      <t xml:space="preserve"> bei natürlichem CO2-Gehalt der Luft und optimaler Dosierung aller Außenfaktoren</t>
    </r>
  </si>
  <si>
    <t>u.a. für Birke, Buche, Eiche, Esche, Lärche, Kiefer, Fichte, Tanne</t>
  </si>
  <si>
    <t>Tab. 6.8</t>
  </si>
  <si>
    <t>(S. 243)</t>
  </si>
  <si>
    <t>Jahressumme der Achsenatmung (Stämme und Äste) verschiedener Baumarten in Prozent der Jahresnettophotosynthese der</t>
  </si>
  <si>
    <t>Bäume bzw. Bestände. Nach Bestimmungen verschiedener Autoren aus Originaldaten zusammengestellt.</t>
  </si>
  <si>
    <t>gekürzt</t>
  </si>
  <si>
    <t>Holzart</t>
  </si>
  <si>
    <t>Alter [Jahre]</t>
  </si>
  <si>
    <t>Höhe [m]</t>
  </si>
  <si>
    <t>Standort</t>
  </si>
  <si>
    <t>Stammatm. [%]</t>
  </si>
  <si>
    <t>Astatm. [%]</t>
  </si>
  <si>
    <t>Schweden 60° N</t>
  </si>
  <si>
    <t>15-16</t>
  </si>
  <si>
    <t>Bayreuth</t>
  </si>
  <si>
    <t>Pseudotsuga taxifolia</t>
  </si>
  <si>
    <t>14-17</t>
  </si>
  <si>
    <t>Uhlberg/</t>
  </si>
  <si>
    <t>11,8 zusammen</t>
  </si>
  <si>
    <t>Schwarzwald Freiburg</t>
  </si>
  <si>
    <t>11,2 zusammen</t>
  </si>
  <si>
    <t>7,3 zusammen</t>
  </si>
  <si>
    <t>11,7 zusammen</t>
  </si>
  <si>
    <t>Rheinaue bei Breisach</t>
  </si>
  <si>
    <t>Tab. 6.9</t>
  </si>
  <si>
    <t>(S. 246/47)</t>
  </si>
  <si>
    <t>Jahressumme der Wurzelatmung verschiedener Baumarten in Prozent der Jahresnettophotosynthese der</t>
  </si>
  <si>
    <t>Bäume bzw. Bestände. Nach Bestimmungen verschiedener Autoren aus Orirginaldaten zusammengestellt.</t>
  </si>
  <si>
    <t>Wurzelatm. [%]</t>
  </si>
  <si>
    <t>Grobw.</t>
  </si>
  <si>
    <t>Schwachw.</t>
  </si>
  <si>
    <t>Feinw.</t>
  </si>
  <si>
    <t>Gesamt</t>
  </si>
  <si>
    <t>10-15</t>
  </si>
  <si>
    <t>Eberswalde</t>
  </si>
  <si>
    <t>nicht KÜNSTLE UND MITSCHERLICH !</t>
  </si>
  <si>
    <t>16-18</t>
  </si>
  <si>
    <t>Tab. 6.11</t>
  </si>
  <si>
    <t>(S. 252/53)</t>
  </si>
  <si>
    <t xml:space="preserve">Jahresnettophotosynthese in t C/ ha*a, Jahresatmung der Stämme, Äste und Wurzeln und Jahreszuwachs an Blättern, Stämmen und Ästen </t>
  </si>
  <si>
    <t xml:space="preserve">sowie Wurzeln in Prozent der Jahresnettophotosynthese verschiedener Bestände. Nach Bestimmungen verschiedener Autoren </t>
  </si>
  <si>
    <t>aus Orirginaldaten zusammengestellt.</t>
  </si>
  <si>
    <t>Jahresnetto-photosynthese</t>
  </si>
  <si>
    <t>Atmung gesamt [%]</t>
  </si>
  <si>
    <t>Zuwachs%</t>
  </si>
  <si>
    <t>Autor</t>
  </si>
  <si>
    <t>Blätter</t>
  </si>
  <si>
    <t>Stamm und Zweige</t>
  </si>
  <si>
    <t>Wurzeln</t>
  </si>
  <si>
    <t>AGREN et.al. 1980</t>
  </si>
  <si>
    <t>KÜNSTLE et al. 1979</t>
  </si>
  <si>
    <t>KÜNSTLE UND MITSCHERLICH 1977</t>
  </si>
  <si>
    <t>Dänemark</t>
  </si>
  <si>
    <t>MÖLLER et al. 1954</t>
  </si>
  <si>
    <t>zwei Quellen?</t>
  </si>
  <si>
    <t>Bonität 2,0</t>
  </si>
  <si>
    <t>23-26</t>
  </si>
  <si>
    <t>Solling bei Göttingen</t>
  </si>
  <si>
    <t>SCHULZE et al. 1977b</t>
  </si>
  <si>
    <t>LINDER UND TROENG 1981</t>
  </si>
  <si>
    <t>MATYSSEK 1985b</t>
  </si>
  <si>
    <t>Tharandt</t>
  </si>
  <si>
    <t>POLSTER 1950</t>
  </si>
  <si>
    <t>Anmerkung:</t>
  </si>
  <si>
    <t>Betula pendula Roth = Betula verrucosa Ehrh.</t>
  </si>
  <si>
    <t>Tab. 8.4</t>
  </si>
  <si>
    <t>(S. 292)</t>
  </si>
  <si>
    <t>Hitzeletal- und Hitzelatenzgrenzen verschiedener Baumarten</t>
  </si>
  <si>
    <t>u.a. für Birke, Buche, Lärche, Fichte, Kiefer</t>
  </si>
  <si>
    <t>Tab. 16.2</t>
  </si>
  <si>
    <t>(S. 473)</t>
  </si>
  <si>
    <t>Übersicht über das Höchstalter und den Beginn der Blühreife bei einigen Gehölzen. (Zusammnestellung nach mehreren Autoren)</t>
  </si>
  <si>
    <t>für 41 Gehölzarten, überwiegend Mitteleuropas</t>
  </si>
  <si>
    <t xml:space="preserve">Lyr, Horst, Fiedler, Hans-Joachim, Tranquillini, Walter 1992. Physiologie und Ökologie der Gehölze. Gustav Fischer Verlag Jena - Stuttgart. 620 S. </t>
  </si>
  <si>
    <t>Originalquellen (siehe Tabelle 6.11):</t>
  </si>
  <si>
    <t>leaves / g dw tree^-1</t>
  </si>
  <si>
    <t>AGREN, G.I., AXELSSON, B., FLOWER-ELLIS, J.G.K., LINDER, S., STAAF, H., TROENG, E. 1980. Annual carbon budget for a young Scots pine. In T. PERSON (ed.): Structure and function of Northern Coniferous Forest. Ecol. Bull. (Stockholm) 32:307-313</t>
  </si>
  <si>
    <t>KÜNSTLE, E. UND MITSCHERLICH, G. 1975: Photosynthese, Transpiration und Atmung in einem Mischbestand im Schwarzwald. I. Photosynthese. Allg. Forst- und Jagdztg. 146: 45-63</t>
  </si>
  <si>
    <t>KÜNSTLE, E. UND MITSCHERLICH, G. 1976: Photosynthese, Transpiration und Atmung in einem Mischbestand im Schwarzwald. III. Atmung. Allg. Forst- und Jagdztg. 147: 169-177</t>
  </si>
  <si>
    <t>Pinno, Lieffers &amp; Stadt (2001): Measuring and modelling the crown and light transmission characteristics of juvenile aspen. CJFR 31:1930 - 1939, jr-pin-01</t>
  </si>
  <si>
    <t>Bestände 1 - 30 J.</t>
  </si>
  <si>
    <t>verwendete Gleichungen:</t>
  </si>
  <si>
    <t>D30 = 1.1843 + 0.6363(D130)^1.194</t>
  </si>
  <si>
    <t>D in 30cm Höhe aus BHD:</t>
  </si>
  <si>
    <t>H aus D30:</t>
  </si>
  <si>
    <t>(R^2=0.919, n=383)</t>
  </si>
  <si>
    <t>CR aus D30:</t>
  </si>
  <si>
    <t>Clength aus D30:</t>
  </si>
  <si>
    <t>leaf area (dominant trees)</t>
  </si>
  <si>
    <t>H (m) = 0.3 + 14.47*(1 - exp(-0.19*D30))^1.59</t>
  </si>
  <si>
    <t>CR (cm) = 29.67*D30^0.6125</t>
  </si>
  <si>
    <t>CL (cm) = 84.89 * D30^0.7641</t>
  </si>
  <si>
    <t>LA (m^2) = 0.137 * D30^1.9535</t>
  </si>
  <si>
    <t>leaf area (intermediate und suppr. Tr.)</t>
  </si>
  <si>
    <t>LA (m^2) = 0.1295 * D30^1.6773</t>
  </si>
  <si>
    <t>leaf area density (m^2/m^3)</t>
  </si>
  <si>
    <t>LAD (m^2/m^3) = 1.44 - 0.1016 * D30</t>
  </si>
  <si>
    <t>(R^2=0.129, p = 0.0001)</t>
  </si>
  <si>
    <t>(R^2=0.98, n=324)</t>
  </si>
  <si>
    <t>(R^2=0.72, p=0.0001, n=96)</t>
  </si>
  <si>
    <t>(R^2=0.67, p=0.0001, n=96)</t>
  </si>
  <si>
    <t>(R^2=0.61, p=0.0001, n=37)</t>
  </si>
  <si>
    <t>(R^2=0.75, p=0.0001, n=56)</t>
  </si>
  <si>
    <t>DBH (cm)</t>
  </si>
  <si>
    <t>D30 (cm)</t>
  </si>
  <si>
    <t>H (m)</t>
  </si>
  <si>
    <t>CR (cm)</t>
  </si>
  <si>
    <t>CL (cm)</t>
  </si>
  <si>
    <t>LA(dom) (m2)</t>
  </si>
  <si>
    <t>LA(int) (m2)</t>
  </si>
  <si>
    <t>LAD (m2/m3)</t>
  </si>
  <si>
    <t>H/LA(dom) (m/m2)</t>
  </si>
  <si>
    <t>KÜNSTLE, E. UND MITSCHERLICH, G. 1977: Photosynthese, Transpiration und Atmung in einem Mischbestand im Schwarzwald. IV. Bilanz. Allg. Forst- und Jagdztg. 148: 227-239</t>
  </si>
  <si>
    <t>KÜNSTLE, E. UND MITSCHERLICH, G., HÄDRICH, F. 1979: Gaswechseluntersuchungen in Kiefernbeständen im Trockengebiet der Oberrheinebene. Allg. Forst- und Jagdztg. 150: 205-228</t>
  </si>
  <si>
    <t>fine roots: 0.05 - 3.0 mm diameter</t>
  </si>
  <si>
    <t>experiments in growth chambers with 6 clones</t>
  </si>
  <si>
    <t>root order</t>
  </si>
  <si>
    <t>root length (mm)</t>
  </si>
  <si>
    <t>ambient CO2</t>
  </si>
  <si>
    <t>elevated CO2</t>
  </si>
  <si>
    <t>marginal means</t>
  </si>
  <si>
    <t>root diameter (mm)</t>
  </si>
  <si>
    <t>specific root length (m/g)</t>
  </si>
  <si>
    <t>root nitrogen (g / kg)</t>
  </si>
  <si>
    <t>CO2: ambient: 35.7 +/-0.06 Pa during daytime, elevated: 70.7 +/- 0.06 Pa</t>
  </si>
  <si>
    <t>N: high: 100% A horizon, 12.5 g N / kg, low: 20% A, 80% C horizon, 3.6 g N / kg</t>
  </si>
  <si>
    <t>table 2: Root morphology, root N concentration and C:N ratio for the first four root orders of P. tremuloides. Mean, (SE)</t>
  </si>
  <si>
    <t>C/N ratio                                                                  low soil N                          high soil N</t>
  </si>
  <si>
    <t>Pregitzer_roots</t>
  </si>
  <si>
    <t>fine root biomass, C, N, at normal and elevated CO2 and two soil nitrogen concentrations</t>
  </si>
  <si>
    <t>Bungart, R. (1999): Erzeugung von Biomasse zur energetischen Nutzung durch den Anbau schnellwachsender Baumarten auf Kippensubstraten des Lausitzer Braunkohlereviers. Cottbuser Schriften zu Bodenschutz und Rekultivierung 7. 161 S.</t>
  </si>
  <si>
    <t>eigene Daten</t>
  </si>
  <si>
    <t>Werte für litter decay from Duchesne, L. C.
Wetzel, S. (2000): Effect of clear-cutting, prescribed burning and scarification on litter decomposition in an eastern Ontario jack pine (Pinus banksiana) ecosystem. nternational Journal of Wildland Fire 9(3): 195 - 201; (table 3, 4)</t>
  </si>
  <si>
    <t>Duchesne, L. C., Wetzel, S. (2000): Effect of clear-cutting, prescribed burning and scarification on litter decomposition in an eastern Ontario jack pine (Pinus banksiana) ecosystem. nternational Journal of Wildland Fire 9(3): 195 - 201</t>
  </si>
  <si>
    <t>Peng, Y. Y., Dang, Q. L. (2003): Effects of soil temperature on biomass production and allocation in seedlings of four boreal tree species. Forest Ecology and Management 180 (1-3): 1 - 9</t>
  </si>
  <si>
    <t>Reighard, G. L., Hanover, J. W. (1989, jr - rei - 06): Shoot and Root Development and Dry-Matter Partitioning in Populus-Grandidentata, P-Tremuloides, and P X Smithii. Canadian Journal of Forest Research 20 (6): 849 - 852</t>
  </si>
  <si>
    <t>Osawa &amp; Kurachi (2004, osa - 01): Spatial leaf distribution and self-thinning exponent of Pinus banksiana and Populus tremuloides. Trees-Structure and Function 18 (3): 327 - 338.</t>
  </si>
  <si>
    <t xml:space="preserve">Ewers, B. E:, S. T. Gower, B. Bond-Lamberty, C. K. Wang (2005): Effects of stand age and tree species on canopy transpirationand average stomatal conductance of boreal forests. Plant, Cell and Environment (in press) </t>
  </si>
  <si>
    <t>Rydberg, D. (2000, jr - ryd-01): Initial sprouting, growth and mortality of European aspen and birch after selective coppicing in central Sweden. Forest Ecology and Management 130 (1 - 3): 27 - 35</t>
  </si>
  <si>
    <t>Perala, D. A. (1979, per - 07): Regeneration and productivity of aspen grown on repeated short rotations. RP - NC - 176, 8p.</t>
  </si>
  <si>
    <t>Pregitzer, K. S. et al. (2000): Interactive effects of atmospheric CO2 and soil-N availability on fine roots of Populus tremuloides. Ecol. Appl. 10 (1):18-33</t>
  </si>
  <si>
    <t>MÖLLER, C.M., MÜLLER, D., NIELSEN, J. 1954. Ein Diagramm der Stoffproduktion im Buchenwald. Ber. Schweiz. Bot. Ges. 64: 487-494</t>
  </si>
  <si>
    <t>SCHULZE, D., FUCHS, M.UND FUCHS, M.I. 1977b. Spacial distribution of photosynthetic capacity and performance in a mountain spruce forest of Northern Germany. III. The significance of the evergreen habit. Oecologica (Berl.) 30: 239-248</t>
  </si>
  <si>
    <t>LINDER,S. UND TROENG, E. 1980. Photosynthesis and transpiration of 20-year-old Scots pine. In T. PERSON (ed.): Structure and function of Northern Coniferous Forest. Ecol. Bull. (Stockholm) 32: 165-181</t>
  </si>
  <si>
    <t>MATYSSEK, R. 1985a. Der Kohlenstoff-, Wasser- und Nährstoffhaushalt der wechselgrünen und immergrünen Koniferen Lärche, Fichte, Kiefer. Dissertation, Univ. Bayreuth</t>
  </si>
  <si>
    <t>MATYSSEK, R. 1985b. The carbon balance of three decidous larch species and an evergreen spruce species near Bayreuth (W.-Germany). Eidg. Anst. Forstl. Versuchswes. , Berichte 270: 123-133</t>
  </si>
  <si>
    <t>POLSTER 1950 - Quelle nicht angegeben; andere Quellen Archiv für Forstwesen 1955-1966</t>
  </si>
  <si>
    <r>
      <t>Transpiration von Birke, Eiche, Esche und Buche in ml m</t>
    </r>
    <r>
      <rPr>
        <vertAlign val="superscript"/>
        <sz val="10"/>
        <rFont val="MS Sans Serif"/>
        <family val="2"/>
      </rPr>
      <t>-2</t>
    </r>
    <r>
      <rPr>
        <sz val="10"/>
        <rFont val="Arial"/>
      </rPr>
      <t xml:space="preserve"> Blattfläche h</t>
    </r>
    <r>
      <rPr>
        <vertAlign val="superscript"/>
        <sz val="10"/>
        <rFont val="MS Sans Serif"/>
        <family val="2"/>
      </rPr>
      <t>-1</t>
    </r>
    <r>
      <rPr>
        <sz val="10"/>
        <rFont val="Arial"/>
      </rPr>
      <t xml:space="preserve"> an ganzen Bäumen (klarer und bedeckter Tag)</t>
    </r>
  </si>
  <si>
    <r>
      <t>KÜNSTLE, E. 1971. Der Jahresgang des CO</t>
    </r>
    <r>
      <rPr>
        <vertAlign val="subscript"/>
        <sz val="10"/>
        <rFont val="MS Sans Serif"/>
        <family val="2"/>
      </rPr>
      <t>2</t>
    </r>
    <r>
      <rPr>
        <sz val="10"/>
        <rFont val="Arial"/>
      </rPr>
      <t>-Gaswechsels von einjährigen Douglasientrieben in einem 20jährigen Bestand. Allg. Forst- und Jagdztg. 146: 105-108</t>
    </r>
  </si>
  <si>
    <t>SCHULZE, D., FUCHS, M.I. UND FUCHS, M. 1977a. Spacial distribution of photosynthetic capacity and performance in a mountain spruce forest of Northern Germany. I. Biomass distribution and daily CO2 uptake in different crown layers. Oecologica (Berl.) 29: 43-61</t>
  </si>
  <si>
    <t>Amann, SDW</t>
  </si>
  <si>
    <t>viele Baumarten</t>
  </si>
  <si>
    <t>CMA</t>
  </si>
  <si>
    <t>Holzdichten</t>
  </si>
  <si>
    <t>alle Hauptbaumarten</t>
  </si>
  <si>
    <t>Jarvis</t>
  </si>
  <si>
    <t>SLA, Gewicht bei versch. Boden und Nährstoffen</t>
  </si>
  <si>
    <t>Köstler</t>
  </si>
  <si>
    <t>Wurzel, Wurzelatmung Jungpflanzen</t>
  </si>
  <si>
    <t>Lyr, Fiedler, Tranqu.</t>
  </si>
  <si>
    <t>durchschnittl. Werte Elementkonzentrationen, Werte Transpiration, Netto-Photosynthese, Bilanz, Wurzelatmung</t>
  </si>
  <si>
    <t>früheste Reproduktion, max. Alter</t>
  </si>
  <si>
    <r>
      <t xml:space="preserve">Angaben zu Buche, Eichen, Spitzahorn, Sandbirke, </t>
    </r>
    <r>
      <rPr>
        <b/>
        <sz val="10"/>
        <rFont val="Arial"/>
        <family val="2"/>
      </rPr>
      <t>Pappeln</t>
    </r>
    <r>
      <rPr>
        <sz val="10"/>
        <rFont val="Arial"/>
      </rPr>
      <t>, Erlen, Robinie, Linde, Roßkastanie</t>
    </r>
  </si>
  <si>
    <t>Freilanduntersuchung</t>
  </si>
  <si>
    <t>Biomasseerzeugung mit Pappeln, Aspen und Weiden auf Kippensubstraten, 4 Versuchsfelder</t>
  </si>
  <si>
    <t>Versuchsfeld 1:</t>
  </si>
  <si>
    <t>Bungart</t>
  </si>
  <si>
    <t>Biomasseerzeugung mit SWH</t>
  </si>
  <si>
    <t>P. trichocarpa</t>
  </si>
  <si>
    <t xml:space="preserve">P.nigra x P. maximowiczii, P. max. x P. trichocarpa, P. trich. x  P. P. deltoides, (p. max. * P. berolinensis) x P. trich., P. tremula x P. tremuloides, P. tremuloides x P. tremuloides, P. tremula x P. tremula, </t>
  </si>
  <si>
    <t>Salix viminalis, S. daphnoides, S. alopecuroides (S. fragilis x S. triandra)</t>
  </si>
  <si>
    <t>Aspenhybriden</t>
  </si>
  <si>
    <t>?</t>
  </si>
  <si>
    <t>Kippensubstrate aufgedüngt mit N/P/K 318 / 168 / 253 kg / ha (Feld 1,3, 4) bzw. 218 / 148 / 173 (Feld 2) und 50 kg Mg (alle)</t>
  </si>
  <si>
    <t>Table 1 (p. 334): Summary of stand statistics … (ergänzt)</t>
  </si>
  <si>
    <t>plot no.</t>
  </si>
  <si>
    <t>stand density (no. /m^2)</t>
  </si>
  <si>
    <t>mean dbh (cm)</t>
  </si>
  <si>
    <t>mean tree height (m)</t>
  </si>
  <si>
    <t>mean crown volume (m^3)</t>
  </si>
  <si>
    <t>mean stem dry mass (kg)</t>
  </si>
  <si>
    <t>mean above-ground dry mass (kg)</t>
  </si>
  <si>
    <t>Q13</t>
  </si>
  <si>
    <t>Q1</t>
  </si>
  <si>
    <t>Q25</t>
  </si>
  <si>
    <t>Q22</t>
  </si>
  <si>
    <t>abgeleitet:</t>
  </si>
  <si>
    <t>height of crown base:</t>
  </si>
  <si>
    <t>crown volume = mean crown length : stand density!! --&gt; crown length = mcvol * stdens</t>
  </si>
  <si>
    <t>foliage mass:</t>
  </si>
  <si>
    <t>foliage mass = 11,74 * dbh^2,235</t>
  </si>
  <si>
    <t>Stecklinge, 2 * 0,6m (= 8.333 / ha), 250 Pflanzen je Klon und Wiederholung, 3 Wdh.</t>
  </si>
  <si>
    <t xml:space="preserve">Versuchsfeld 2: </t>
  </si>
  <si>
    <t>Stecklinge, 2 * 0,6m, 100 Pfl. / Klon, eine Wdh. / Klon</t>
  </si>
  <si>
    <t>Versuchsfeld 3:</t>
  </si>
  <si>
    <t>Aspen-Hybriden, wurzelnackte Pflanzen 1+0, 2 * 1,2 m, 49 / Klon u. Wdh., 3 Wdh.</t>
  </si>
  <si>
    <t>Versuchsfeld 4:</t>
  </si>
  <si>
    <t>Aspen-Hybriden, wurzelnackte Pflanzen 1+0, 2 * 0,9 m (5.555 / ha), 49 / Klon u. Wdh., 3 Wdh.</t>
  </si>
  <si>
    <t>Wurzelproben: 2 Stöcke / Klon, 1x</t>
  </si>
  <si>
    <t>Blattproben: 12 Bäume je Parzelle, aus mittlerem Höhen- und Durchmesserbereich, 3. - 7. Blatt des Terminaltriebes, als Mischprobe, monatlich von Mai - Nov., 3 Jahre</t>
  </si>
  <si>
    <t>Stammproben: 6 - 9 je Klon nach 2, 3, 4 Jahren, in Veg.-Ruhe Ernte aller oberird. Biomasse</t>
  </si>
  <si>
    <t>parameter</t>
  </si>
  <si>
    <t>equation for foliage mass (cross sectional area at crown base) from Geron and Ruark (1988)</t>
  </si>
  <si>
    <t>if assumed that cross sectional area in those young trees = 100% sapwood this can be usde for estimate of foliage sapwood relationship</t>
  </si>
  <si>
    <t xml:space="preserve">Bodenproben: 1995 und 1998, je 2 x Pürckauer / Parzelle, Mischprobe, 0-10, 10 - 60, 60 - 100 cm Tiefe, Profilanlage für Korngröße etc. dort Stechzylinder mit 100 ml in 7 Reihen / 4 Tiefenstufen, keine Angabe über Anzahl Profile  </t>
  </si>
  <si>
    <t>zusätzlich: Bodenwasserspannung, Bodentemperatur, Blattwasserpotential, hydr. Leitfähigkeit, Embolismus, LAI, Transpiration an Balsampappelklonen</t>
  </si>
  <si>
    <t>Klimastation auf der Fläche</t>
  </si>
  <si>
    <t>Nachkommenschaft</t>
  </si>
  <si>
    <t>Höhe Pflanzung</t>
  </si>
  <si>
    <t>Höhenzuwachs 1995</t>
  </si>
  <si>
    <t>Gesamthöhe 1995</t>
  </si>
  <si>
    <t>Höhenzuw. 1996</t>
  </si>
  <si>
    <t>H-ges. 1996</t>
  </si>
  <si>
    <t>Höhenzuw. 1997</t>
  </si>
  <si>
    <t>H-ges. 1997</t>
  </si>
  <si>
    <t>Höhenzuw. 1998</t>
  </si>
  <si>
    <t>H-ges. 1998</t>
  </si>
  <si>
    <t>Aspe 1</t>
  </si>
  <si>
    <t>Aspe 2</t>
  </si>
  <si>
    <t>Aspe 3</t>
  </si>
  <si>
    <t>Aspe 4</t>
  </si>
  <si>
    <t>Aspe 5</t>
  </si>
  <si>
    <t>Aspe 6</t>
  </si>
  <si>
    <t>Aspe 8</t>
  </si>
  <si>
    <t>Aspe 9</t>
  </si>
  <si>
    <t>Aspe 13</t>
  </si>
  <si>
    <t>Standardabweichung</t>
  </si>
  <si>
    <t>WHD (Pflanzung)</t>
  </si>
  <si>
    <t>Standardabw.</t>
  </si>
  <si>
    <t>Tabelle A.7: statistische Auswertung der Höhenentwicklung der Aspen-Nachkommenschaften ... , Mittelwerte und Standardabweichung, alle in [cm] (S. 155)</t>
  </si>
  <si>
    <t>Tabelle A.8: statistische Auswertung der Entwicklung der Wurzelhalsdurchmesser der Aspen-Nachkommenschaften ... , Mittelwerte und Standardabweichung, alle in [mm] (S. 155)</t>
  </si>
  <si>
    <t>WHD-Zuw.1995</t>
  </si>
  <si>
    <t>Gesamt-WHD 1995</t>
  </si>
  <si>
    <t>WHD-Zuw.1996</t>
  </si>
  <si>
    <t>Gesamt-WHD 1996</t>
  </si>
  <si>
    <t>WHD-Zuw.1997</t>
  </si>
  <si>
    <t>Gesamt-WHD 1997</t>
  </si>
  <si>
    <t>WHD-Zuw.1998</t>
  </si>
  <si>
    <t>Gesamt-WHD 1998</t>
  </si>
  <si>
    <t>Tabelle A.11: Anwuchsraten im Jahr 1995 und Vitalitätsraten der Jahre 1996 und 1998 der Aspen-Nachkommenschaften ... (S.157)</t>
  </si>
  <si>
    <t>Anwuchs-% 1995</t>
  </si>
  <si>
    <t>Vitalität (%) 1996</t>
  </si>
  <si>
    <t>Vitalität (%) 1997</t>
  </si>
  <si>
    <t>Vitalität (%) 1998</t>
  </si>
  <si>
    <t>Tabelle A.12: Proportionszahlen der Elementgehalte der Blätter verschiedener Klone und Nachkommenschaften zu verschiedenen Zeitpunkten (S. 158)</t>
  </si>
  <si>
    <t>S</t>
  </si>
  <si>
    <t>enthält auch Werte für Pappeln</t>
  </si>
  <si>
    <t>Tabelle A.13: Verhältniszahlen der Blattelemente verschiedener Klone und Nachkommenschaften zu verschiedenen Zeitpunkten (S. 159)</t>
  </si>
  <si>
    <t>N : P</t>
  </si>
  <si>
    <t>N : K</t>
  </si>
  <si>
    <t>N : Ca</t>
  </si>
  <si>
    <t>N : Mg</t>
  </si>
  <si>
    <t>N : S</t>
  </si>
  <si>
    <t>K : Ca</t>
  </si>
  <si>
    <t>K : Mg</t>
  </si>
  <si>
    <t>Ca : Mg</t>
  </si>
  <si>
    <t>P : Zn</t>
  </si>
  <si>
    <t>Biomasseakkumulation: (S. 39)</t>
  </si>
  <si>
    <t>5,3 - 11,9 / 7,8 to BM nach 4 Jahren</t>
  </si>
  <si>
    <r>
      <t>Aspe 9 mit 3 t / ha</t>
    </r>
    <r>
      <rPr>
        <vertAlign val="superscript"/>
        <sz val="10"/>
        <rFont val="Arial"/>
        <family val="2"/>
      </rPr>
      <t>-1</t>
    </r>
    <r>
      <rPr>
        <sz val="10"/>
        <rFont val="Arial"/>
      </rPr>
      <t xml:space="preserve"> a</t>
    </r>
    <r>
      <rPr>
        <vertAlign val="superscript"/>
        <sz val="10"/>
        <rFont val="Arial"/>
        <family val="2"/>
      </rPr>
      <t>-1</t>
    </r>
    <r>
      <rPr>
        <sz val="10"/>
        <rFont val="Arial"/>
      </rPr>
      <t xml:space="preserve"> top, alle anderen 1,3 - 2,2 t</t>
    </r>
  </si>
  <si>
    <t>Anteil Stamm</t>
  </si>
  <si>
    <t xml:space="preserve">Tabelle (ex Abbildung) 18: Anteil von Stamm-, Zweig- und Wurzelbiomasse nach 3 Jahren. S. 41 (Werte aus Graphik abgelesen) </t>
  </si>
  <si>
    <t>Anteil Zweige</t>
  </si>
  <si>
    <t>Anteil Wurzel</t>
  </si>
  <si>
    <t>Biomassezuwachs 1995 / 1996</t>
  </si>
  <si>
    <t>Biom.zuw. 1997</t>
  </si>
  <si>
    <t>Sämlinge in Hydrokultur, nur die Relationen angegeben</t>
  </si>
  <si>
    <t>Leder-Diss. (WLH, 1992)</t>
  </si>
  <si>
    <t>Tab. 32, Spreitungsgrad (Kronenbreite : Baumhöhe)</t>
  </si>
  <si>
    <t>Solitär</t>
  </si>
  <si>
    <t>im Kollektiv</t>
  </si>
  <si>
    <t>Tab. 35: Spreitungsgrad der Stockausschläge</t>
  </si>
  <si>
    <t>1, 2, 4 und 8 Jahre Umtriebszeit, Ernte im Sommer (!)</t>
  </si>
  <si>
    <t>per stump</t>
  </si>
  <si>
    <t>Biom.zuw. 1998</t>
  </si>
  <si>
    <t>Biom. Ende 1997</t>
  </si>
  <si>
    <t>Biom. Ende 1998</t>
  </si>
  <si>
    <t>Biom. Ende 1996</t>
  </si>
  <si>
    <t>4,42 cm = 10 to atro</t>
  </si>
  <si>
    <t>&lt;-- : Ablesewerte in cm /// to atro --&gt;</t>
  </si>
  <si>
    <t>Tabelle (ex Abbildung) 19: Wurzelbiomasse der Klone und Nachkommenschaften nach 4 Jahren. Werte aus Graphik abgelesen, t / ha</t>
  </si>
  <si>
    <t>Wurzelbiom.</t>
  </si>
  <si>
    <t>Tabelle 11: N-Ernährungszustand der Aspen-Nachkommenschaften (Blattspiegelwerte, mg N / g TS (S. 43)</t>
  </si>
  <si>
    <t>Im Mai 1997 sowie Juli 1998 NPK-Düngung</t>
  </si>
  <si>
    <t>Tabelle 15: P-Ernährungszustand der Aspen-Nachkommenschaften (Blattspiegelwerte, mg P / g TS (S. 47)</t>
  </si>
  <si>
    <t>Tabelle 19: K-Ernährungszustand der Aspen-Nachkommenschaften (Blattspiegelwerte, mg K / g TS (S. 51)</t>
  </si>
  <si>
    <t>Tabelle 22: Mg-Ernährungszustand der Aspen-Nachkommenschaften (Blattspiegelwerte, mg Mg / g TS (S. 53)</t>
  </si>
  <si>
    <t>Tabelle 25: Ca-Ernährungszustand der Aspen-Nachkommenschaften (Blattspiegelwerte, mg Ca / g TS (S. 56)</t>
  </si>
  <si>
    <t>Tabelle 26: Mikronährelementgehalte (MN, Fe und Zn) sowie Schwefelgehalte der Blätter ... (s. 59)</t>
  </si>
  <si>
    <t>Mn</t>
  </si>
  <si>
    <t>Fe</t>
  </si>
  <si>
    <t>Zn</t>
  </si>
  <si>
    <r>
      <t>m</t>
    </r>
    <r>
      <rPr>
        <sz val="10"/>
        <rFont val="Arial"/>
      </rPr>
      <t>g / g TS</t>
    </r>
  </si>
  <si>
    <t>mg / g TS</t>
  </si>
  <si>
    <t>cr</t>
  </si>
  <si>
    <t>aus geron und ruark: pastor vorhanden?</t>
  </si>
  <si>
    <t>pnus min</t>
  </si>
  <si>
    <t>Tabelle 39: Elementgehalte der Sproß- und Zweigorgane im August 1997 (S. 82)</t>
  </si>
  <si>
    <t>Klon / Nachk.</t>
  </si>
  <si>
    <t>Sproß</t>
  </si>
  <si>
    <t xml:space="preserve">Zweig </t>
  </si>
  <si>
    <t>Tabelle 40: Elementgehalte der Sproß- und Zweigorgane im Dezember 1997 (S. 82)</t>
  </si>
  <si>
    <t>Wurzel</t>
  </si>
  <si>
    <t>St.abw.</t>
  </si>
  <si>
    <t>Tabelle 41: Makronährelementgehalte (N, S, P, K, Mg, Ca) der oberirdischen Biomasse nach 4jähriger Umtriebszeit (S. 84) St.abw. = Standardabweichung</t>
  </si>
  <si>
    <t>Tabelle 42: N- und P-Vorräte in der Wurzelbiomasse verschiedener Klone und Nachkommenschaften  (N=2). S. 88</t>
  </si>
  <si>
    <t>P (kg / ha)</t>
  </si>
  <si>
    <t>N (kg / ha)</t>
  </si>
  <si>
    <t>Mittelwert</t>
  </si>
  <si>
    <t>P. tremula x P. tremuloides (Aspe 1 - 4, 6 - 9)</t>
  </si>
  <si>
    <t>5,3 - 11,8</t>
  </si>
  <si>
    <t>Biomasse (t / ha)</t>
  </si>
  <si>
    <t>Elementvorrat</t>
  </si>
  <si>
    <t>Nutrient use efficiency"</t>
  </si>
  <si>
    <t>Tabelle 43: Oberirdische Biomasseakkumulation (t / ha), deren akkumulierte n-, P- und Ca-Vorräte (kg / ha) (Spannweite und Mittelwert) und die "nutrient efficiency" (kg Biomasse / kg Element) ... (S. 89)</t>
  </si>
  <si>
    <t>37 - 77</t>
  </si>
  <si>
    <t>4,6 - 10,1</t>
  </si>
  <si>
    <t>46 - 68</t>
  </si>
  <si>
    <t>144 - 162</t>
  </si>
  <si>
    <t>1149 - 1333</t>
  </si>
  <si>
    <t>No. Living sprouts / stool</t>
  </si>
  <si>
    <t>May 1996</t>
  </si>
  <si>
    <t>May 1997</t>
  </si>
  <si>
    <t>&gt; HL</t>
  </si>
  <si>
    <t>&lt; HL</t>
  </si>
  <si>
    <t>original tree height</t>
  </si>
  <si>
    <t>9-jährige Aspen, 1995 gekappt, height limits je nach Block 5,5m (A, B) bzw. 4m (C ), auf Flughafen Arlanda</t>
  </si>
  <si>
    <t>vertauscht mit Salix viminalis? Dort steht 1143 - 1563 / 1345!</t>
  </si>
  <si>
    <t>125 - 155</t>
  </si>
  <si>
    <t>nicht erklärbar</t>
  </si>
  <si>
    <t>kg / ha</t>
  </si>
  <si>
    <t>Tabelle (ex Abbildung) 46: Stickstoffakkumulation in der oberirdischen Biomasse (aus Graphik abgelesen). S. 85</t>
  </si>
  <si>
    <t>N-Akk. 1996</t>
  </si>
  <si>
    <t>N-Vorrat 1996</t>
  </si>
  <si>
    <t>N-Akk. 1997</t>
  </si>
  <si>
    <t>N-Vorrat 1997</t>
  </si>
  <si>
    <t>N-Akk. 1998</t>
  </si>
  <si>
    <t>N-Vorrat 1998</t>
  </si>
  <si>
    <t>&lt;-- abgelesene Werte</t>
  </si>
  <si>
    <t>4,3cm = 110 kg</t>
  </si>
  <si>
    <t>berechnet --&gt;</t>
  </si>
  <si>
    <t>Baum-Nummer</t>
  </si>
  <si>
    <t>BHD</t>
  </si>
  <si>
    <t>liegende Länge</t>
  </si>
  <si>
    <t>Stockhöhe</t>
  </si>
  <si>
    <t>Höhe</t>
  </si>
  <si>
    <t>Anzahl Segmente</t>
  </si>
  <si>
    <t>Volumen Stamm</t>
  </si>
  <si>
    <t>Rock-BHK</t>
  </si>
  <si>
    <t>eigene Daten, FoA Paderborn, Aspe, 22j.</t>
  </si>
  <si>
    <t>Anbautechnik + Ertrag von SWPl</t>
  </si>
  <si>
    <t>Hofmann</t>
  </si>
  <si>
    <t>x</t>
  </si>
  <si>
    <t>Wie, Bi, Rob, Rer</t>
  </si>
  <si>
    <t>Hofmann, M. (1999): Bereitstellung von genetisch hochwertigem Vermehrungsgut für Kurzumtriebsbestände. Modellvorhaben "Schnellwachsende Baumarten." Abschlussbericht. S. 151 - 239</t>
  </si>
  <si>
    <t>Kennung</t>
  </si>
  <si>
    <t>Age [years]</t>
  </si>
  <si>
    <t>Tree height [m]</t>
  </si>
  <si>
    <t>DBH [cm]</t>
  </si>
  <si>
    <t>Foliage [kg DW/ tree]</t>
  </si>
  <si>
    <t>Osawa</t>
  </si>
  <si>
    <t>only average trees</t>
  </si>
  <si>
    <t>Area</t>
  </si>
  <si>
    <t>D</t>
  </si>
  <si>
    <t>Ruark anschreiben oder weitere Publs zu den 9 beständen 39 Bäumen Höhe Bloattmasse paper 1987 forest science</t>
  </si>
  <si>
    <t>Johansson</t>
  </si>
  <si>
    <t>Überlebensraten nach 3-, 6- und 9-jährigem Ernteturnus</t>
  </si>
  <si>
    <t>Populus grandidantata nach 2. Ernte nur noch zu 38% bestockt</t>
  </si>
  <si>
    <t>P. tremula geht auf ca. 70% zurueck (Graphik schlecht lesbar)</t>
  </si>
  <si>
    <t>Tabelle 1 (ex Abb. 14, S. 171): Brusthöhendurchmesser (mm)</t>
  </si>
  <si>
    <t>P. grandidentata</t>
  </si>
  <si>
    <t>P. tremula</t>
  </si>
  <si>
    <t>1.Rotation</t>
  </si>
  <si>
    <t>2. Rotation</t>
  </si>
  <si>
    <t>64 mm in Zeichnung = 50mm in real</t>
  </si>
  <si>
    <t>mm in Zeichnung</t>
  </si>
  <si>
    <t>nach 1 Jahr</t>
  </si>
  <si>
    <t>Ende 2. Jahr</t>
  </si>
  <si>
    <t>Ende 3. Jahr</t>
  </si>
  <si>
    <t>Ende 4. Jahr</t>
  </si>
  <si>
    <t>Zuw. 1. Standjahr</t>
  </si>
  <si>
    <t>Zuw. 2. Jahr</t>
  </si>
  <si>
    <t>Zuw. 3. Jahr</t>
  </si>
  <si>
    <t>Zuw. 4. Jahr</t>
  </si>
  <si>
    <t>Tabelle 2 (ex Abbildung 19, S. 176): Massenleistung (t / ha*a)</t>
  </si>
  <si>
    <t>1. Rotation</t>
  </si>
  <si>
    <t>P. tre "Astria"</t>
  </si>
  <si>
    <t xml:space="preserve">Versuch Abbachhof: </t>
  </si>
  <si>
    <r>
      <t>Anwuchsverluste</t>
    </r>
    <r>
      <rPr>
        <sz val="10"/>
        <rFont val="Arial"/>
      </rPr>
      <t xml:space="preserve"> &lt;5% bei Aspen bei 2,0x0,3m-Pflanzverband, danach 1 - 3% Verlust bis zur ersten Ernte (S. 189 f)</t>
    </r>
  </si>
  <si>
    <t>Sektion Leuce</t>
  </si>
  <si>
    <t>3. Rotation</t>
  </si>
  <si>
    <t>40,5 mm = 800 cm in real</t>
  </si>
  <si>
    <t>cm real</t>
  </si>
  <si>
    <t xml:space="preserve">Tabelle 4 (ex Abbildung 32, S. 196): Durchmesser (andere Prüffelder als für BHD in Tab. 1!) </t>
  </si>
  <si>
    <t xml:space="preserve">Tabelle 3 (ex Abbildung 31, S. 192): Höhe des Haupttriebes über drei Rotationen (andere Prüffelder als für BHD in Tab. 1!) </t>
  </si>
  <si>
    <t>mm real</t>
  </si>
  <si>
    <t>84,5mm in Zeichnung = 50mm real</t>
  </si>
  <si>
    <t>Tabelle 5 (ex Abbildung 36, 37, S. 203): Biomasseproduktion Versuch Abbachhof (t atro / ha bei B° real)</t>
  </si>
  <si>
    <t>43,2mm i.Z. = 180t atro / ha</t>
  </si>
  <si>
    <t>nach 1. Rotation</t>
  </si>
  <si>
    <t>nach 2. Rotation</t>
  </si>
  <si>
    <t>nach 3. Rotation</t>
  </si>
  <si>
    <t>in 3. Rotation</t>
  </si>
  <si>
    <t>2 yr old trees in growth chambers (?), temperature of soil varies</t>
  </si>
  <si>
    <t>soil temperature</t>
  </si>
  <si>
    <t>shoot biomass</t>
  </si>
  <si>
    <t>foliage biomass</t>
  </si>
  <si>
    <t>in 2. Rotation</t>
  </si>
  <si>
    <t>in 1. Rotation</t>
  </si>
  <si>
    <t>"Astria"</t>
  </si>
  <si>
    <t>62,0mm i. Z. = 180 t atro / ha</t>
  </si>
  <si>
    <t>to real</t>
  </si>
  <si>
    <t>Versuch Wildeshausen:</t>
  </si>
  <si>
    <t>Anwuchserfolg Aspen 95 - 99%, nach 2 Jahren 93%, nach 5 Jahren 83%</t>
  </si>
  <si>
    <t>Tabelle 6 (ex Abbildung 43, S. 213): Höhenentwicklung, Aspen, Versuch Wildeshausen</t>
  </si>
  <si>
    <t>P. x tremula</t>
  </si>
  <si>
    <t>87,3mm i. Z. = 600 cm real</t>
  </si>
  <si>
    <t>Rückschnitt im Pflanzjahr, d. h. 1. Jahr ist Jahr NACH der Pflanzung</t>
  </si>
  <si>
    <t>Tabelle 7 (ex Abbildung 45, S. 215): Durchmesserentwicklung, Aspen, Versuch Wildeshausen</t>
  </si>
  <si>
    <t>82,0 mm i. Z. = 40 mm in real</t>
  </si>
  <si>
    <t>bei 8jähriger Umtriebszeit: Anwuchserfolg für Aspen 100%, nach 5 Jahren 93% (Astria: 98%)</t>
  </si>
  <si>
    <t>Zuw. 5. Jahr</t>
  </si>
  <si>
    <t>Ende 5. Jahr</t>
  </si>
  <si>
    <t>Zuw. 6. Jahr</t>
  </si>
  <si>
    <t>Ende 6. Jahr</t>
  </si>
  <si>
    <t>Tabelle 8 (ex Abbildung 53, S. 228): Höhenentwicklung, Aspen, Versuch Wildeshausen, 8-jähriger Umtrieb</t>
  </si>
  <si>
    <t>59,8 mm i. Z. = 1300 cm in real</t>
  </si>
  <si>
    <t>Tabelle 9 (ex Abbildung 55, S. 229): Durchmesserentwicklung, Aspen, Versuch Wildeshausen, 8-jähriger Umtrieb</t>
  </si>
  <si>
    <t>87,9 mm i. Z. = 140 mm in real</t>
  </si>
  <si>
    <t>to atro / ha real</t>
  </si>
  <si>
    <t>Tabelle 10 (ex Abbildung 57, S. 231): Biomasseproduktion, Aspen, Versuch Wildeshausen, 8-jähriger Umtrieb, realer B°</t>
  </si>
  <si>
    <t>62,0 mm i. Z. = 12 to atro in real</t>
  </si>
  <si>
    <t>Liesebach, M., G. von Wühlisch &amp; H.-J. Muhs (1999): Eignung der Baumart Aspe und Prüfung von Aspenhybriden für die Biomasseerzeugung in Kurzumtriebsplantagen.  Modellvorhaben "Schnellwachsende Baumarten." Abschlussbericht. S. 240 - 313</t>
  </si>
  <si>
    <t>Prüfung von 17 Nachkommenschaften aus Kreuzungen und 10 Klonen auf Anbauwürdigkeit</t>
  </si>
  <si>
    <t>Abbachhof: 8 Nachkommenschaften,  2,0 x 0,6m-Verband, 5-jähriger Umtrieb; 2,0 x 0,9m- und 2,0 x 1,2m-Verband, 10-jähriger Umtrieb</t>
  </si>
  <si>
    <t>Canstein: 14 NK., 2,0 x 12m-Verband,</t>
  </si>
  <si>
    <t>Wildeshausen I (Schlangenwiese): 12 NK., 2,2 x 0,6m mit 5+4Jahren Umtrieb, dito mit 9 Jahren, 2,2 x 1,2m mit 9 Jahren</t>
  </si>
  <si>
    <t xml:space="preserve">Wildeshausen II (Bauernmarsch): 18 NK, Verband 2,2 x 0,6 mit 4+4- und 9-jährigem Umtrieb, 2,2 x 0,9m mit 9-jährigem Umtrieb und 2,2 x 1,2m mit 8-j. U </t>
  </si>
  <si>
    <t>Tabelle 1 (ex Abb. 7, S. 253): Biomasseerträge, 2,0 x 0,6m-Verb., 5 + 5 Umtrieb</t>
  </si>
  <si>
    <t>to atro / ha</t>
  </si>
  <si>
    <t>P. tremula x P. tremula</t>
  </si>
  <si>
    <t>P. trem. X P. tremuloides 1</t>
  </si>
  <si>
    <t>P. trem. X P. tremuloides 2</t>
  </si>
  <si>
    <t>P. trem. X P. tremuloides 3</t>
  </si>
  <si>
    <t>P. tremuloides x P. tremula</t>
  </si>
  <si>
    <t>P. trem.des x P. trem.des</t>
  </si>
  <si>
    <t>"Esch 2"</t>
  </si>
  <si>
    <t>Standort der Klone ist etwas nährstoffreicher und besser wasserversorgt</t>
  </si>
  <si>
    <t>Muhs, H.-J., G. v. Wühlisch &amp; M. Liesebach (1994): Nutzung landwirtschaftlicher Flächen zur Biomasseerzeugung mit schnellwachsenden Baumarten - Erfahrungen mit der Baumart Aspe. Abschlußbericht, BFH, Großhansdorf. 60 S.</t>
  </si>
  <si>
    <t>Muhs</t>
  </si>
  <si>
    <t>Aspen-Versuche, Schnellwuchsplantage</t>
  </si>
  <si>
    <t>Sorte:</t>
  </si>
  <si>
    <t>0.9 x 2.0 m</t>
  </si>
  <si>
    <t>vollbestockt</t>
  </si>
  <si>
    <t>Ausfälle (%)</t>
  </si>
  <si>
    <t>um Ausf. Reduzierte Masse (t atro / ha):</t>
  </si>
  <si>
    <t>1.2 x 2.0 m</t>
  </si>
  <si>
    <t>Tabelle 2: Biomasseerträge mit und ohne Berücksichtigung von Ausfällen, Abbachhof, U = 10 J.</t>
  </si>
  <si>
    <t>MW:</t>
  </si>
  <si>
    <t>Tabelle 3: Ausfälle auf den Teilflächen:</t>
  </si>
  <si>
    <t>Mittelwert:</t>
  </si>
  <si>
    <t>Tabelle 4: Entwicklung der Aufwüchse, 0.6 x 2.0 m</t>
  </si>
  <si>
    <t>S. 254: Entwicklung der Anzahl der Aufwüchse, incl. Wurzelbrut</t>
  </si>
  <si>
    <t>mm in real</t>
  </si>
  <si>
    <t>36,6mm i. Z. = 10cm in real</t>
  </si>
  <si>
    <t>Zuw. Bis 5. Standjahr</t>
  </si>
  <si>
    <t>nach 5 Jahr</t>
  </si>
  <si>
    <t>Zuw. 7. Jahr</t>
  </si>
  <si>
    <t>Ende 7. Jahr</t>
  </si>
  <si>
    <t>Zuw. 8. Jahr</t>
  </si>
  <si>
    <t>Ende 8. Jahr</t>
  </si>
  <si>
    <t>Zuw. 9. Jahr</t>
  </si>
  <si>
    <t>Ende 9. Jahr</t>
  </si>
  <si>
    <t>Zuw. 10. Jahr</t>
  </si>
  <si>
    <t>Ende 10. Jahr</t>
  </si>
  <si>
    <t>Tabelle 3 (ex Abb. 12, S. 259): Durchmesserentwicklung, 2,0 x 1,2m-Verb., 10j. Umtrieb</t>
  </si>
  <si>
    <t>Tabelle 2 (ex Abb. 11, S. 259): Durchmesserentwicklung, 2,0 x 0,9m-Verb., 10j. Umtrieb</t>
  </si>
  <si>
    <t>36,0mm i. Z. = 10cm real</t>
  </si>
  <si>
    <t>Tabelle 4 (ex Abb. 14, S. 262): Biomasseerträge, 2,0 x 0,9m- und 2,0 x 1,2m-Verb., 10j. Umtrieb</t>
  </si>
  <si>
    <t>2,0 x 0,9m</t>
  </si>
  <si>
    <t>voll bestockt</t>
  </si>
  <si>
    <t>um Ausfälle reduziert</t>
  </si>
  <si>
    <t>2,0 x 1,2m</t>
  </si>
  <si>
    <t>Daten von Balsampappelklonen ("Beaupré" und "Androscoggin"):</t>
  </si>
  <si>
    <t>Androscoggin: y = 0,0095x + 2E-05, R^2 = 0,52</t>
  </si>
  <si>
    <t>Beaupré: y = 1,2946x^2 - 0,0233x + 0,0003, mit y: Sproßleitfähigkeit [kg / s * Mpa], x: Wurzelhalsdurchmesser [m], R^2 = 0,98</t>
  </si>
  <si>
    <t>durchschnittliche blattspezifische Leitfähigkeit:</t>
  </si>
  <si>
    <t>Beaupré: 8,20E-04 kg/ s*Mpa</t>
  </si>
  <si>
    <t>Androscoggin: 5,95E-5</t>
  </si>
  <si>
    <t>hydraulische Sproß-Leitfähigkeit (S. 66 ff):</t>
  </si>
  <si>
    <t xml:space="preserve">flächenbezogene durchschnittliche Leitfähigkeit: </t>
  </si>
  <si>
    <t>Beaupré: y = 1,3209*x^(1,7204), R^2 = 0,53, y: Leitfähigkeit [kg / s*MPa], x: Durchmesserklasse</t>
  </si>
  <si>
    <t>Androscoggin: y= 8,0254 * x^(2,3009), R^2 = 0,80</t>
  </si>
  <si>
    <t>Tabelle 29 (S. 67): Gemessene Transpirationsdaten der Klone B. und A. 1997</t>
  </si>
  <si>
    <t>Messtag</t>
  </si>
  <si>
    <t>Dampfdruckdefizit (mbar / bar)</t>
  </si>
  <si>
    <t>Strahlung (yE)</t>
  </si>
  <si>
    <t>Transpirationsrate (mmol / g*h)</t>
  </si>
  <si>
    <t>Transpirationsrate (mm / h) je ha</t>
  </si>
  <si>
    <t>Stomataleitfähigkeit (mmol / m^2*s)</t>
  </si>
  <si>
    <t>Maximum St.</t>
  </si>
  <si>
    <t>Beaupré</t>
  </si>
  <si>
    <t>Androscoggin</t>
  </si>
  <si>
    <t>je Gramm Trockenmasse</t>
  </si>
  <si>
    <t>Jahr</t>
  </si>
  <si>
    <t>LAI</t>
  </si>
  <si>
    <t>Transp.W.</t>
  </si>
  <si>
    <t>Tabelle 31 (S. 69): Blattflächenindices und Transpirationswiderstände (s / m^2) der Klone B. und A.</t>
  </si>
  <si>
    <t>Transpirationswiderstände mit Bodenvegetation zusammen bestimmt, diese ist bei LAI rausgerechnet!</t>
  </si>
  <si>
    <t>Durchschnitt:</t>
  </si>
  <si>
    <t>halfsaturation</t>
  </si>
  <si>
    <t>limit</t>
  </si>
  <si>
    <t xml:space="preserve">Table 3 (p. 31): The abundance of living sprouts per stool in treatment TCR (traditional coppicing, clear cut of entire area) for stools </t>
  </si>
  <si>
    <t>with an original tree height above (&gt; HL) and below (&lt; HL) the height limits, respectively.</t>
  </si>
  <si>
    <t>table 5: stump and root collar sprouts regenerated on short rotations</t>
  </si>
  <si>
    <t>Tabelle (ex Abbildung) 17: Biomasseakkumulation der Aspen-Nachkommenschaften nach 4jähriger Rotation. S. 40, Werte aus Graphik abgelesen. T atro je ha.</t>
  </si>
  <si>
    <r>
      <t xml:space="preserve">1996: Korrelation </t>
    </r>
    <r>
      <rPr>
        <b/>
        <sz val="10"/>
        <rFont val="Arial"/>
        <family val="2"/>
      </rPr>
      <t>LAI zu WHD</t>
    </r>
    <r>
      <rPr>
        <sz val="10"/>
        <rFont val="Arial"/>
      </rPr>
      <t>: Beaupré: LAI = 0,6393 * LN(WHD) - 1,3883, R^2 = 0,81; Andr.: LAI = -0,0006*WHD^2 + 0,797*WHD - 0,7196, R^2 = 0,97</t>
    </r>
  </si>
  <si>
    <t>&lt;-- von S. 70: Werte für Klone alleine</t>
  </si>
  <si>
    <t>Transpiration Androscoggin: 0,62 - 0,68 mm / Tag (S. 75)</t>
  </si>
  <si>
    <t>Transpiration Beaupré: 0,76 - 1,01 mm / Tag (S. 78)</t>
  </si>
  <si>
    <t>nur an 2 Tagen gemessen, 14.8. Und 1.9.!</t>
  </si>
  <si>
    <t>Tabelle 51 (S. 106): Grenzwertbereiche von Nährelementen für eine optimale Ernährung</t>
  </si>
  <si>
    <t>TS</t>
  </si>
  <si>
    <t>Table 10: LZ (t atro / ha) bei 0.9 x 2.0 m- und 1.2 x 2.0 m -Verband, U = 10J.</t>
  </si>
  <si>
    <t>[mg / g]</t>
  </si>
  <si>
    <t>&gt; 27</t>
  </si>
  <si>
    <t>2,0 - 3,0</t>
  </si>
  <si>
    <t>15 - 20</t>
  </si>
  <si>
    <t>7,3 - 17</t>
  </si>
  <si>
    <t>1,8 - 4,0</t>
  </si>
  <si>
    <t>Heinsdorf (1985)</t>
  </si>
  <si>
    <t>&gt; 15 - 20</t>
  </si>
  <si>
    <t>Cotè &amp; Camirò (1987)</t>
  </si>
  <si>
    <t>McLennan (1990)</t>
  </si>
  <si>
    <t>21 - 30</t>
  </si>
  <si>
    <t>2,3 - 2,5</t>
  </si>
  <si>
    <t>14 - 20</t>
  </si>
  <si>
    <t>3,1 - 3,7</t>
  </si>
  <si>
    <t>Makeschin et al. (1989)</t>
  </si>
  <si>
    <t>&gt; 25</t>
  </si>
  <si>
    <t>&gt; 15</t>
  </si>
  <si>
    <t>&gt; 1,5</t>
  </si>
  <si>
    <t>Rytter &amp; Ericsson (1993)</t>
  </si>
  <si>
    <t>17 - 25</t>
  </si>
  <si>
    <t>1,0 - 4,4</t>
  </si>
  <si>
    <t>7 - 17,6</t>
  </si>
  <si>
    <t>3,0 - 6,8</t>
  </si>
  <si>
    <t>1,4 - 3,0</t>
  </si>
  <si>
    <t>Jug (1997), Jug et al. (1999a)</t>
  </si>
  <si>
    <t>Spanne</t>
  </si>
  <si>
    <t>17 - 30</t>
  </si>
  <si>
    <t>1,0 -4,4</t>
  </si>
  <si>
    <t>im Original wohl in falsche Spalte gerutscht!</t>
  </si>
  <si>
    <t>7,0 - 20</t>
  </si>
  <si>
    <t>3,0 - 17</t>
  </si>
  <si>
    <t>1,4 - 4,0</t>
  </si>
  <si>
    <t>Weide</t>
  </si>
  <si>
    <t>20 - 25</t>
  </si>
  <si>
    <t>26 - 32</t>
  </si>
  <si>
    <t>22 - 30</t>
  </si>
  <si>
    <t>20 - 32</t>
  </si>
  <si>
    <t>1,7 - 3,9</t>
  </si>
  <si>
    <t>1,5 - 2</t>
  </si>
  <si>
    <t>8,0- 19</t>
  </si>
  <si>
    <t>1,8 - 4</t>
  </si>
  <si>
    <t>4,5 - 6,6</t>
  </si>
  <si>
    <t>2,2 - 20</t>
  </si>
  <si>
    <t>1,7 - 7,4</t>
  </si>
  <si>
    <t>Miller (1984)</t>
  </si>
  <si>
    <t>Parfitt &amp; Stott (1987)</t>
  </si>
  <si>
    <t>1,5 - 3,9</t>
  </si>
  <si>
    <t>korrigiert, im Original 1,5 - 2,4 bzw. 1,3 - 13</t>
  </si>
  <si>
    <t>1,3 - 7,4</t>
  </si>
  <si>
    <t>James &amp; Smith (1978)</t>
  </si>
  <si>
    <t>18 - 25</t>
  </si>
  <si>
    <t>23 - 27</t>
  </si>
  <si>
    <t>18 - 27</t>
  </si>
  <si>
    <t>1,8 - 3,0</t>
  </si>
  <si>
    <t>12,0 - 18,0</t>
  </si>
  <si>
    <t>11,0 - 18,0</t>
  </si>
  <si>
    <t>3,0 - 15</t>
  </si>
  <si>
    <r>
      <t>Tabelle 52 (S. 106): Proportionszahlen</t>
    </r>
    <r>
      <rPr>
        <sz val="10"/>
        <rFont val="Arial"/>
      </rPr>
      <t xml:space="preserve"> für die Gattungen </t>
    </r>
    <r>
      <rPr>
        <i/>
        <sz val="10"/>
        <rFont val="Arial"/>
        <family val="2"/>
      </rPr>
      <t>Populus</t>
    </r>
    <r>
      <rPr>
        <sz val="10"/>
        <rFont val="Arial"/>
      </rPr>
      <t xml:space="preserve"> und</t>
    </r>
    <r>
      <rPr>
        <i/>
        <sz val="10"/>
        <rFont val="Arial"/>
        <family val="2"/>
      </rPr>
      <t xml:space="preserve"> Salix</t>
    </r>
    <r>
      <rPr>
        <sz val="10"/>
        <rFont val="Arial"/>
      </rPr>
      <t xml:space="preserve"> zur Beurteilung eines ausgewogenen Ernährungszustandes, alle Nährelemente in % vom N-Gehalt der Blätter angegeben</t>
    </r>
  </si>
  <si>
    <t>Populus</t>
  </si>
  <si>
    <t>Literatur</t>
  </si>
  <si>
    <t>10,0 - 18</t>
  </si>
  <si>
    <t>48 - 70</t>
  </si>
  <si>
    <t>7,0 - 62</t>
  </si>
  <si>
    <t>7,0 - 42</t>
  </si>
  <si>
    <t>Ericsson et al (1992)</t>
  </si>
  <si>
    <t>Jia &amp; Ingestad (1984)</t>
  </si>
  <si>
    <t>Ericsson (1981)</t>
  </si>
  <si>
    <t>Nilsson &amp; Ericsson (1986)</t>
  </si>
  <si>
    <t>10,0 - 13</t>
  </si>
  <si>
    <t>korrigierte Werte !!!</t>
  </si>
  <si>
    <t>10,0 - 17</t>
  </si>
  <si>
    <t>7,0 - 57</t>
  </si>
  <si>
    <t>7,0 - 12</t>
  </si>
  <si>
    <t>0,1 - 0,2</t>
  </si>
  <si>
    <t>Salix</t>
  </si>
  <si>
    <t>8,0 - 18</t>
  </si>
  <si>
    <t>45 - 65</t>
  </si>
  <si>
    <t>9,0 - 15</t>
  </si>
  <si>
    <t>11,0 - 62</t>
  </si>
  <si>
    <t>Tabelle 53 (S. 106): Nährelementquotienten für harmonische Ernährung (aus Ericsson et al. 1992 berechnet)</t>
  </si>
  <si>
    <t>Gattung:</t>
  </si>
  <si>
    <t>7,1 - 12</t>
  </si>
  <si>
    <t>5,6 - 13,3</t>
  </si>
  <si>
    <t xml:space="preserve">2,2 - 4,0 </t>
  </si>
  <si>
    <t>1,4 - 2,1</t>
  </si>
  <si>
    <t>1,8 - 14,3</t>
  </si>
  <si>
    <t>Poker</t>
  </si>
  <si>
    <t>Poker, J. (1985): Naturverjüngung von P. tremula X P. alba. Abschlußbericht, BFH, Großhansdorf. 43 S.</t>
  </si>
  <si>
    <t>Wurzelbrut, Stockausschlag, Bodenbearbeitungsvarianten, Biomasse, Wuchsleistung über 4 Jahre</t>
  </si>
  <si>
    <t>Aspe X Weißpappel</t>
  </si>
  <si>
    <t>Fläche am Rand der Baumschule der BFH, 1981 geerntet und nach versch. Behandlungen liegengelassen, 0,0216 ha insgesamt</t>
  </si>
  <si>
    <t>Nester: alle Triebe, die zu wenigstens 2 dicht beieinander stehen, egal ob Wurzelbrut oder Stockausschlag</t>
  </si>
  <si>
    <t>Verband war 1.5 x1.5 m gewesen</t>
  </si>
  <si>
    <t>Baumnr.</t>
  </si>
  <si>
    <t>Atro-gew. Stamm</t>
  </si>
  <si>
    <t>Atro Gesamt (g)</t>
  </si>
  <si>
    <t>%</t>
  </si>
  <si>
    <t>Tabelle 1 Stammanteil am Trockengewicht (ohne Blätter)</t>
  </si>
  <si>
    <t>Tabelle 3: Reisig</t>
  </si>
  <si>
    <t>% FR (&lt;5mm)</t>
  </si>
  <si>
    <t>%GR (&gt;10mm)</t>
  </si>
  <si>
    <t>%MR (5 - 10 mm)</t>
  </si>
  <si>
    <t>Tabelle 5: Rindenanteil (Trockengewicht, über Baumhöhe)</t>
  </si>
  <si>
    <t>Baumhöhe (cm)</t>
  </si>
  <si>
    <t>10 - 20</t>
  </si>
  <si>
    <t>20 - 30</t>
  </si>
  <si>
    <t>60 - 70</t>
  </si>
  <si>
    <t>100 - 110</t>
  </si>
  <si>
    <t>110 - 120</t>
  </si>
  <si>
    <t>150 - 160</t>
  </si>
  <si>
    <t>200 - 210</t>
  </si>
  <si>
    <t>210 - 220</t>
  </si>
  <si>
    <t>250 - 260</t>
  </si>
  <si>
    <t>260 - 270</t>
  </si>
  <si>
    <t>300 - 310</t>
  </si>
  <si>
    <t>310 - 320</t>
  </si>
  <si>
    <t>50 - 60</t>
  </si>
  <si>
    <t>160 - 170</t>
  </si>
  <si>
    <t>Tabelle 6: Rindenanteil am TG des Reisigs</t>
  </si>
  <si>
    <t>Astfraktion</t>
  </si>
  <si>
    <t>FR</t>
  </si>
  <si>
    <t>MR</t>
  </si>
  <si>
    <t>GR</t>
  </si>
  <si>
    <t>gesamt</t>
  </si>
  <si>
    <t>Tabelle 8: oberirdische Biomoasse</t>
  </si>
  <si>
    <t>Stamm</t>
  </si>
  <si>
    <t>Äste</t>
  </si>
  <si>
    <t>Holz</t>
  </si>
  <si>
    <t>Rinde</t>
  </si>
  <si>
    <t>Dichten:</t>
  </si>
  <si>
    <t xml:space="preserve">mittlere Rohdichte aller Proben: </t>
  </si>
  <si>
    <t>g / cm^3</t>
  </si>
  <si>
    <t>Schwankungsbereich</t>
  </si>
  <si>
    <t>0.49 - 0.61</t>
  </si>
  <si>
    <t>0.5 (0.39 - 0.52)</t>
  </si>
  <si>
    <t>Monat / Woche</t>
  </si>
  <si>
    <t>nov</t>
  </si>
  <si>
    <t>dez</t>
  </si>
  <si>
    <t>jan</t>
  </si>
  <si>
    <t>feb</t>
  </si>
  <si>
    <t>mrz</t>
  </si>
  <si>
    <t>(in Klammern: Stammproben, sonst ganze Bäume)</t>
  </si>
  <si>
    <t>(106)</t>
  </si>
  <si>
    <t>(108)</t>
  </si>
  <si>
    <t>Tabelle 13: Holzfeuchte (% von TG)</t>
  </si>
  <si>
    <t>Raumdichte</t>
  </si>
  <si>
    <t>Bodenbearbeitungsvarianten:</t>
  </si>
  <si>
    <t>jeweils 9 X 24m in 3 x 3 m-Quadraten</t>
  </si>
  <si>
    <t>Bodenbearbeitung</t>
  </si>
  <si>
    <t>Düngung und Bewässerung</t>
  </si>
  <si>
    <t>unbearbeitet</t>
  </si>
  <si>
    <t>Bodenbearbeitung, Düngung, Bewässerung</t>
  </si>
  <si>
    <t>Tabell 15: Basisdaten</t>
  </si>
  <si>
    <t>N real</t>
  </si>
  <si>
    <t>N / ha</t>
  </si>
  <si>
    <t>lebende Sprosse</t>
  </si>
  <si>
    <t>D 0.15</t>
  </si>
  <si>
    <t>D 1.3</t>
  </si>
  <si>
    <t>H</t>
  </si>
  <si>
    <t>N Nester</t>
  </si>
  <si>
    <t>N lebend / Nest</t>
  </si>
  <si>
    <t>Solitäre</t>
  </si>
  <si>
    <t>Mortalität</t>
  </si>
  <si>
    <t>TG (t / ha*a)</t>
  </si>
  <si>
    <t>Tabelle 18: Sprößlinge in den Teilflächen</t>
  </si>
  <si>
    <t>N in Nestern</t>
  </si>
  <si>
    <t>N / Nest</t>
  </si>
  <si>
    <t>N Stubben</t>
  </si>
  <si>
    <t>N / Stubben</t>
  </si>
  <si>
    <t>ex Abb. 12: Prozentuale Verteilung der Sprößlinge auf verschiedene Nestergrößen</t>
  </si>
  <si>
    <t>Nestgröße (n Tr.)</t>
  </si>
  <si>
    <t>% aller Triebe</t>
  </si>
  <si>
    <t>&gt;=16</t>
  </si>
  <si>
    <t>Tabelle 20: Mortalität</t>
  </si>
  <si>
    <t>% Sprößlinge</t>
  </si>
  <si>
    <t>solitär</t>
  </si>
  <si>
    <t>in Nestern</t>
  </si>
  <si>
    <t>tot</t>
  </si>
  <si>
    <t>Tabelle 21: Höhenwerte der Spr. (m)</t>
  </si>
  <si>
    <t>Mittelwerte</t>
  </si>
  <si>
    <t>Mittel</t>
  </si>
  <si>
    <t>Extreme</t>
  </si>
  <si>
    <t>(3x3m-Qudr.)</t>
  </si>
  <si>
    <t>1. VP</t>
  </si>
  <si>
    <t>2. VP</t>
  </si>
  <si>
    <t>3. VP</t>
  </si>
  <si>
    <t>4. VP</t>
  </si>
  <si>
    <t>Tabelle 22: Höhenzuwachs (m)</t>
  </si>
  <si>
    <t>Tabelle 23: BHD-Werte der Spr. (cm)</t>
  </si>
  <si>
    <t>Tabelle 24: BHD-Zuwachs (cm)</t>
  </si>
  <si>
    <t>Tabelle 25: Dichte und Mortalität:</t>
  </si>
  <si>
    <t>DEN</t>
  </si>
  <si>
    <t>%Mort.</t>
  </si>
  <si>
    <t>DEN = Hm / (sqrt(10000 / N))</t>
  </si>
  <si>
    <t>Regression:</t>
  </si>
  <si>
    <t>TG (g) = 57.867 * D_0.15^2 + 17.462 * D_0.15 - 42.44; R^2 = 0.9204</t>
  </si>
  <si>
    <t>für D_0,15 zwischen 1 und 5 cm</t>
  </si>
  <si>
    <t>1,6 - 9,1</t>
  </si>
  <si>
    <t>8,5 - 14,3</t>
  </si>
  <si>
    <t>2,4 - 15,4</t>
  </si>
  <si>
    <t>5,9 - 10</t>
  </si>
  <si>
    <t>6,7 - 11,1</t>
  </si>
  <si>
    <t>1,1 - 3,6</t>
  </si>
  <si>
    <t>1,2 - 1,6</t>
  </si>
  <si>
    <t>5,7 - 8</t>
  </si>
  <si>
    <t>1,6 - 6,2</t>
  </si>
  <si>
    <t>Stetter, U. &amp; F. Makeschin (1999): Humushaushalt ehemals landwirtschaftlich genutzter Böden nach Aufforstung mit schnellwachsenden Baumarten. Modellvorhaben "Schnellwachsende Baumarten." Abschlussbericht. S. 341 - 368</t>
  </si>
  <si>
    <t>Streuversuch mit Streu von P. trichocarpa "Muhle-Larsen" und Salix viminalis</t>
  </si>
  <si>
    <t>"Muhle-Larsen"</t>
  </si>
  <si>
    <t>S. viminalis</t>
  </si>
  <si>
    <t>t / ha</t>
  </si>
  <si>
    <t>C-%</t>
  </si>
  <si>
    <t>N-%</t>
  </si>
  <si>
    <t>1,6 - 1,8</t>
  </si>
  <si>
    <t>C/N: Pa 25 - 31, Wei 27 - 30</t>
  </si>
  <si>
    <t>Zersetzung von Streu aus SWPl, Stechrahmen mit Netz überspannt</t>
  </si>
  <si>
    <t>Jug, A. (1999): Ernährungs- und standortskundliche Untersuchungen. Modellvorhaben "Schnellwachsende Baumarten." Abschlussbericht. S.369 - 396</t>
  </si>
  <si>
    <t xml:space="preserve">fast reine Diskussion der Ernährungssituation der Aspen, schlechte Darstellung der Messwerte! </t>
  </si>
  <si>
    <t>Tabelle 2 (S. 381): Empfohlene Grenzwerte für ausreichende Nährstoffversorgung (mg / g)</t>
  </si>
  <si>
    <t>Nährelement</t>
  </si>
  <si>
    <t xml:space="preserve">Literatur </t>
  </si>
  <si>
    <t>eigene erfahrung (ungedüngte Versuchsvariante)</t>
  </si>
  <si>
    <t>"Muhle Larsen"</t>
  </si>
  <si>
    <t>Grenzwert für optimale Versorgung</t>
  </si>
  <si>
    <t>Richtwert für ausreichende Versorgung</t>
  </si>
  <si>
    <t xml:space="preserve">N </t>
  </si>
  <si>
    <t>17,1 - 25,3</t>
  </si>
  <si>
    <t>22,0 - 28</t>
  </si>
  <si>
    <t>&gt; 28,0 (mit 100 kg N-Düngung /ha*a)</t>
  </si>
  <si>
    <t xml:space="preserve">1,0 - 4,4 </t>
  </si>
  <si>
    <t>2,5 - 4,1</t>
  </si>
  <si>
    <t>7,0 - 17,6</t>
  </si>
  <si>
    <t>18,0 - 21,0</t>
  </si>
  <si>
    <t>30 - 6,8</t>
  </si>
  <si>
    <t>6,0 - 13</t>
  </si>
  <si>
    <t>1,4 - 3</t>
  </si>
  <si>
    <t>1,5 - 2,9</t>
  </si>
  <si>
    <t>18,0 - 25</t>
  </si>
  <si>
    <t>&gt; 31,0 (mit 100 kg N-Düngung /ha*a)</t>
  </si>
  <si>
    <t>1,8 - 3</t>
  </si>
  <si>
    <t>2,8 - 3,1</t>
  </si>
  <si>
    <t>12,0 - 18</t>
  </si>
  <si>
    <t>14,0 - 18</t>
  </si>
  <si>
    <t>1,7 - 2,7</t>
  </si>
  <si>
    <t>22,0 - 30</t>
  </si>
  <si>
    <t>25 - 31</t>
  </si>
  <si>
    <t>2,6 - 3,5</t>
  </si>
  <si>
    <t>8,0 - 19</t>
  </si>
  <si>
    <t>16 - 21</t>
  </si>
  <si>
    <t>5,9 - 13</t>
  </si>
  <si>
    <t>2,1 - 3</t>
  </si>
  <si>
    <t>&gt;3</t>
  </si>
  <si>
    <t>19 - 20</t>
  </si>
  <si>
    <t>2,1 - 5</t>
  </si>
  <si>
    <t>30 - 41</t>
  </si>
  <si>
    <t>Tabelle 3 (S. 382): Nährelementgehalte in der Sproßbiomasse zum Erntezeitpunkt und durchschnittlicher jährlicher Nährelemententzug mit der Sproßachsenbiomasse</t>
  </si>
  <si>
    <t>(mg / g)</t>
  </si>
  <si>
    <t>Gehalte</t>
  </si>
  <si>
    <t>Hybridpappeln</t>
  </si>
  <si>
    <t>Literatur (Jug 1997)</t>
  </si>
  <si>
    <t>Versuchsflächen</t>
  </si>
  <si>
    <t>3,5 - 6,9</t>
  </si>
  <si>
    <t>0,5 - 1,0</t>
  </si>
  <si>
    <t>2,8 - 3,9</t>
  </si>
  <si>
    <t>2,4 - 5,5</t>
  </si>
  <si>
    <t>0,4 - 0,6</t>
  </si>
  <si>
    <t>20 - 38</t>
  </si>
  <si>
    <t>3,0 -  5</t>
  </si>
  <si>
    <t>10,0 - 30</t>
  </si>
  <si>
    <t>12,0 - 34</t>
  </si>
  <si>
    <t>2,0 - 5</t>
  </si>
  <si>
    <t>Vergleich:</t>
  </si>
  <si>
    <t>dbh</t>
  </si>
  <si>
    <t>CW_Bech_03</t>
  </si>
  <si>
    <t>CW_Bech_04</t>
  </si>
  <si>
    <t>CW_Beetle</t>
  </si>
  <si>
    <t>CW_Raetzel</t>
  </si>
  <si>
    <t>12,0 - 42</t>
  </si>
  <si>
    <t>16 - 36</t>
  </si>
  <si>
    <t>4,0 - 8</t>
  </si>
  <si>
    <t>19 - 36</t>
  </si>
  <si>
    <t>2,8 - 4,4</t>
  </si>
  <si>
    <t>2,7 - 3,9</t>
  </si>
  <si>
    <t>0,6 - 1</t>
  </si>
  <si>
    <t>2,7 - 6,5</t>
  </si>
  <si>
    <t>4,1 - 6,6</t>
  </si>
  <si>
    <t>0,7 - 1,1</t>
  </si>
  <si>
    <t>2,0 - 3,1</t>
  </si>
  <si>
    <t>3,7 - 6</t>
  </si>
  <si>
    <t>18 - 54</t>
  </si>
  <si>
    <t>3,0 - 9</t>
  </si>
  <si>
    <t>6,0 - 26</t>
  </si>
  <si>
    <t>10,0 - 70</t>
  </si>
  <si>
    <t>1,0 - 5</t>
  </si>
  <si>
    <t>Nährelemententzug (kg / ha), nach Heilmann 1992</t>
  </si>
  <si>
    <t>3,3 - 4,4</t>
  </si>
  <si>
    <t>2,4 - 7,8</t>
  </si>
  <si>
    <t>0,5 - 0,6</t>
  </si>
  <si>
    <t>Anmerkung aus Text: values here unusually high, 1 erg = 10^-7 Joule</t>
  </si>
  <si>
    <t>Johansson, T. (1999): Biomass equations for determining fractions of European aspen … Biomass &amp; Bioenergy 17: 471 - 480</t>
  </si>
  <si>
    <t xml:space="preserve">Stand </t>
  </si>
  <si>
    <t>age</t>
  </si>
  <si>
    <t>dbh (cm)</t>
  </si>
  <si>
    <t>SE dbh (cm</t>
  </si>
  <si>
    <t>BA (m2 / ha)</t>
  </si>
  <si>
    <t>No. Stems / ha</t>
  </si>
  <si>
    <t>area (m1)</t>
  </si>
  <si>
    <t>height (m)</t>
  </si>
  <si>
    <t>SE height (m)</t>
  </si>
  <si>
    <t>Stand</t>
  </si>
  <si>
    <t>sample trees</t>
  </si>
  <si>
    <t>SE dbh (cm)</t>
  </si>
  <si>
    <t>weight leaf (mg)</t>
  </si>
  <si>
    <t>no. leaves / tree</t>
  </si>
  <si>
    <t>proj. LA (mm2)</t>
  </si>
  <si>
    <t>SLA (m2/kg)</t>
  </si>
  <si>
    <t>LAI (m2 / kg dw)</t>
  </si>
  <si>
    <t>leaf weight (kg) / tree</t>
  </si>
  <si>
    <t>BA (tree) (cm2)</t>
  </si>
  <si>
    <t>leaf weight / cm BA</t>
  </si>
  <si>
    <t>cm height / kg leaf weight</t>
  </si>
  <si>
    <t>dry weight (tonnes / ha)</t>
  </si>
  <si>
    <t>stem</t>
  </si>
  <si>
    <t>twigs</t>
  </si>
  <si>
    <t>leaves</t>
  </si>
  <si>
    <t>MAI (to / ha*a)</t>
  </si>
  <si>
    <t>total</t>
  </si>
  <si>
    <t>Rätzel, XY, 1969, Ertragstafel für die Robusta-Pappeln, in: Schober: ET wichtiger Baumarten. FaM: J. D. Sauerländer.</t>
  </si>
  <si>
    <t>I. Ertragsklasse</t>
  </si>
  <si>
    <t>Stammzahl</t>
  </si>
  <si>
    <t>G</t>
  </si>
  <si>
    <t>Dm</t>
  </si>
  <si>
    <t>Hm</t>
  </si>
  <si>
    <t>Formzahl</t>
  </si>
  <si>
    <t>lZ (Vfm)</t>
  </si>
  <si>
    <t>dGZ (Gesamtmasse)</t>
  </si>
  <si>
    <t>II. Ertargsklasse</t>
  </si>
  <si>
    <t>III. Ertragsklasse</t>
  </si>
  <si>
    <t>Kronenschirmfläche (abgeleitet)</t>
  </si>
  <si>
    <t>Kronenschirmfläche über d=100/n^0,5 berechnet, da dann mehr Freiraum bleibt als bei d=((4*10000)/(pi*n))^0,5</t>
  </si>
  <si>
    <t>Kronenradius</t>
  </si>
  <si>
    <t>KR / BHD-Verh. (m / cm)</t>
  </si>
  <si>
    <t>für 4C: KR / BHD-Relation (m/cm): arithmetrisches Mittel über alle</t>
  </si>
  <si>
    <t>Beetle (1974), nach DeByle &amp; Winokur (eds., 1985;GTR-RM-119), S. 13</t>
  </si>
  <si>
    <t>dbh ('')</t>
  </si>
  <si>
    <t>Crown spread (feet)</t>
  </si>
  <si>
    <t>13 - 18</t>
  </si>
  <si>
    <t>13 - 14</t>
  </si>
  <si>
    <t>Anm.: Crown spead usually means "Kronenschirmflaeche". It is assumed that CS here means crown width ("Kronenbreite")</t>
  </si>
  <si>
    <t>metric:</t>
  </si>
  <si>
    <t>Crown spread (m)</t>
  </si>
  <si>
    <t>Ruark, G. A. &amp; J. G. Bockheim (1987): Biomass, net primary production, and nutrient distribution for an age sequence of Populus tremuloides ecosystems. Can. J. For. Res. 18:435 - 443</t>
  </si>
  <si>
    <t>table 1:</t>
  </si>
  <si>
    <t>stand no.</t>
  </si>
  <si>
    <t>age (yrs.)</t>
  </si>
  <si>
    <t>stems / ha</t>
  </si>
  <si>
    <t>basal area (m^2)</t>
  </si>
  <si>
    <t>Table 2: Equations for estimating abovegroun biomass and net primary production of aspen trees</t>
  </si>
  <si>
    <t>Component</t>
  </si>
  <si>
    <t>form</t>
  </si>
  <si>
    <t>ln a</t>
  </si>
  <si>
    <t>b</t>
  </si>
  <si>
    <t>c</t>
  </si>
  <si>
    <t>R^2</t>
  </si>
  <si>
    <t>SEE</t>
  </si>
  <si>
    <t>CF</t>
  </si>
  <si>
    <t>Biomass</t>
  </si>
  <si>
    <t>bolewood</t>
  </si>
  <si>
    <t>bolebark</t>
  </si>
  <si>
    <t>branch</t>
  </si>
  <si>
    <t>foliage</t>
  </si>
  <si>
    <t>twig</t>
  </si>
  <si>
    <t>crown</t>
  </si>
  <si>
    <t>Production</t>
  </si>
  <si>
    <t>Hofmann-Schielle, C., A. Jug, F. Makeschin &amp; K. E. Rehfuess (1999): Short rotation plantations of balsam polars, aspen and willows on former arable land in the Federal Republic of Germany. I: Site-growth relationship. FEM 121: 41 - 55.</t>
  </si>
  <si>
    <t>Wachstum, Standort</t>
  </si>
  <si>
    <t>Hofmann_S</t>
  </si>
  <si>
    <t>Table 1: Site description</t>
  </si>
  <si>
    <t>feature:</t>
  </si>
  <si>
    <t>Abbachhof</t>
  </si>
  <si>
    <t>Wildeshausen</t>
  </si>
  <si>
    <t>Canstein</t>
  </si>
  <si>
    <t>growth region</t>
  </si>
  <si>
    <t>Oberpfälzer Jura</t>
  </si>
  <si>
    <t>NW-hessisches Mittelgebirge</t>
  </si>
  <si>
    <t>W-Nds. Geest</t>
  </si>
  <si>
    <t>elevation (m)</t>
  </si>
  <si>
    <t>400 - 420</t>
  </si>
  <si>
    <t>flat</t>
  </si>
  <si>
    <t>partly flat, gentle E, NE and SW slopes</t>
  </si>
  <si>
    <t>gentle SW slope and valley bottom</t>
  </si>
  <si>
    <t>aspect</t>
  </si>
  <si>
    <t>temperature (°C)</t>
  </si>
  <si>
    <t>650 - 700</t>
  </si>
  <si>
    <t>precipitation (mm)</t>
  </si>
  <si>
    <t>No. of days with mean temp. &gt; 10°C</t>
  </si>
  <si>
    <t>fluvio-glacial sandy sediments</t>
  </si>
  <si>
    <t>old red sandstone (Trias)</t>
  </si>
  <si>
    <t>sandy-clayey tertiary sediments, rich in micas and feldspars, covered by solifluction sheets from the Late Pleistocene period</t>
  </si>
  <si>
    <t>parent rock</t>
  </si>
  <si>
    <t>soil type</t>
  </si>
  <si>
    <t>Braunerden (Cambisols), pseudogleye (stagnic glaysols) and Gleye (gleysols)</t>
  </si>
  <si>
    <t>Braunerden, locally with stagnic features in the subsoil</t>
  </si>
  <si>
    <t>Auen-Braunerden (Fluvi-Eutric Cambisols), Auen-Braunerde-Gleye (Cambo-Eutric-Gleysols), Auengleye (Fluvi-Eutric Gleysols)</t>
  </si>
  <si>
    <t>Table 2: Establishment</t>
  </si>
  <si>
    <t>year</t>
  </si>
  <si>
    <t>area (ha)</t>
  </si>
  <si>
    <t>No. test species</t>
  </si>
  <si>
    <t>15 x 18</t>
  </si>
  <si>
    <t>10 x 10</t>
  </si>
  <si>
    <t>size of plots</t>
  </si>
  <si>
    <t>spacing (aspen only)</t>
  </si>
  <si>
    <t>2.0 x 0.3</t>
  </si>
  <si>
    <t>2.0 x 0.6</t>
  </si>
  <si>
    <t>2.0 x 1.0</t>
  </si>
  <si>
    <t>fertilization treatment</t>
  </si>
  <si>
    <t>control</t>
  </si>
  <si>
    <t>Aspe: P. tremula x P. tremuloides cv. 'Astria'</t>
  </si>
  <si>
    <t>control / N1, N2 / P, KMg, PKMg / N1PKMg / N2PKMg / N1PKMgCa</t>
  </si>
  <si>
    <t>control / N1, N2 / N1PKMg</t>
  </si>
  <si>
    <t>2 - 6</t>
  </si>
  <si>
    <t>2 - 5</t>
  </si>
  <si>
    <t>8 - 10</t>
  </si>
  <si>
    <t>replications / treatment</t>
  </si>
  <si>
    <t>years of fertilization</t>
  </si>
  <si>
    <t>1984 - 1987 / 1989 - 1992</t>
  </si>
  <si>
    <t>1987 - 1990 / 1993 - 1995</t>
  </si>
  <si>
    <t>1991 - 1993</t>
  </si>
  <si>
    <t>rotation: 5 yrs.</t>
  </si>
  <si>
    <t>rotation</t>
  </si>
  <si>
    <t>average height (cm)</t>
  </si>
  <si>
    <t>treatment:</t>
  </si>
  <si>
    <t>N1</t>
  </si>
  <si>
    <t>N2</t>
  </si>
  <si>
    <t>KMg</t>
  </si>
  <si>
    <t>PKMg</t>
  </si>
  <si>
    <t>N1PKMg</t>
  </si>
  <si>
    <t>N2PKMg</t>
  </si>
  <si>
    <t>N1PKMgCa</t>
  </si>
  <si>
    <t>from figures 1; 2: Average height and average shoot dry matter (winter status) at the end of the first and second rotation (5 year rotation)</t>
  </si>
  <si>
    <t>average shoot dry matter (t / ha)</t>
  </si>
  <si>
    <t>From figure 3: dry matter of shoot axes and soil type (Astria, Abbachhof)</t>
  </si>
  <si>
    <t>soil type:</t>
  </si>
  <si>
    <t>Braunerde / BE-Pseudogley</t>
  </si>
  <si>
    <t>Stagnogleye</t>
  </si>
  <si>
    <t>Gleye</t>
  </si>
  <si>
    <t>Table 5: Average annual increment of shoot axes dry matter</t>
  </si>
  <si>
    <t>site</t>
  </si>
  <si>
    <t>treatment</t>
  </si>
  <si>
    <t>und: Liesebach, M., G. von Wühlisch &amp; H.-J. Muhs (1999): Aspen for short-rotation coppice plantations on agricultural sites in Germany: Effects of spacing and rotation time on growth and biomass production of aspen progenies. FEM 121: 25 - 39</t>
  </si>
  <si>
    <t>Liesebach, M., G. von Wühlisch &amp; H.-J. Muhs (1999): Eignung der Baumart Aspe und Prüfung von Aspenhybriden für die Biomasseerzeugung in Kurzumtriebsplantagen.  Modellvorhaben "Schnellwachsende Baumarten." Abschlussbericht. S. 240 - 313; und: Liesebach, M., G. von Wühlisch &amp; H.-J. Muhs (1999): Aspen for short-rotation coppice plantations on agricultural sites in Germany: Effects of spacing and rotation time on growth and biomass production of aspen progenies. FEM 121: 25 - 39</t>
  </si>
  <si>
    <t>Liesebach et al. / FEM:</t>
  </si>
  <si>
    <t>table 3: spacings and layout</t>
  </si>
  <si>
    <t>spacing (m)</t>
  </si>
  <si>
    <t>2.0 x 0.9</t>
  </si>
  <si>
    <t>2.0 x 1.2</t>
  </si>
  <si>
    <t>plot size (trees)</t>
  </si>
  <si>
    <t>6 x 12</t>
  </si>
  <si>
    <t>6 x 8</t>
  </si>
  <si>
    <t>6 x 6</t>
  </si>
  <si>
    <t>trees / ha</t>
  </si>
  <si>
    <t>rotation period (yrs).</t>
  </si>
  <si>
    <t>table 4: mortality (%) at age 5 (Abbachhof, 2.0 x 0.6m) and 10 (Abbachhof, 2.0 x 0.9 / 2.0 x 1.2m; Canstein 2.0 x 1.2). In Abbachhof dead plants were replaced in first year (5 yr. Rotation)</t>
  </si>
  <si>
    <t>Crossing</t>
  </si>
  <si>
    <t>Species \ Spacing:</t>
  </si>
  <si>
    <t>5 yrs.</t>
  </si>
  <si>
    <t>10 yrs.</t>
  </si>
  <si>
    <t>Br 11 x W52</t>
  </si>
  <si>
    <t>GrDb1 x W52</t>
  </si>
  <si>
    <t>W51 x W52</t>
  </si>
  <si>
    <t>W95 x W52</t>
  </si>
  <si>
    <t>Br11 x T44-60</t>
  </si>
  <si>
    <t>P, tremula x P. tremuloides</t>
  </si>
  <si>
    <t>GrDb1 x T44-60</t>
  </si>
  <si>
    <t>W51 x T44-60</t>
  </si>
  <si>
    <t>W95 x T44-60</t>
  </si>
  <si>
    <t>Br11 x Tur. 141</t>
  </si>
  <si>
    <t>GrDb1 x Tur.141</t>
  </si>
  <si>
    <t>W51 x Tur.141</t>
  </si>
  <si>
    <t>W95 x Tur.141</t>
  </si>
  <si>
    <t>Ihl3 x W52</t>
  </si>
  <si>
    <t>Ihl3 x W66</t>
  </si>
  <si>
    <t>Ihl3 x Tur.141</t>
  </si>
  <si>
    <t>P. tremuloides x P. tremuloides</t>
  </si>
  <si>
    <t>mean:</t>
  </si>
  <si>
    <t>from figure 2: average height (m) at age 5 / Abbachhof only</t>
  </si>
  <si>
    <t>2.8 … 4</t>
  </si>
  <si>
    <t>berechnet:</t>
  </si>
  <si>
    <t>4.95 …10</t>
  </si>
  <si>
    <t>from figure 3: average diameter at breast height (cm) at age 5 and 10 / Abbachhof only</t>
  </si>
  <si>
    <t>berechnet</t>
  </si>
  <si>
    <t>from figure 5: biomass production (t atro / ha) , 2.0 x 0.6m (8.333 / ha), Abbachhof</t>
  </si>
  <si>
    <t>1. rotation</t>
  </si>
  <si>
    <t>2nd rotation</t>
  </si>
  <si>
    <t>Species:</t>
  </si>
  <si>
    <t>mean (berechnet):</t>
  </si>
  <si>
    <t>from figure 6: Number of shoots and suckers / ha, mean from 6 progenies, Abbachhof</t>
  </si>
  <si>
    <t>Spacing:</t>
  </si>
  <si>
    <t>11 - spring</t>
  </si>
  <si>
    <t>11 - autun</t>
  </si>
  <si>
    <t>table 5: biomass production (t atro biomass / ha) of fully stocked sitesin 10 years</t>
  </si>
  <si>
    <t>2.0 x 0.9 m</t>
  </si>
  <si>
    <t>Person, R. A., A. R. Hellgren &amp; J. W. Hubbard (1971): Yields from short-rotation aspen suckers. Minnesoty Forestry Research Notes 224, 4 p.</t>
  </si>
  <si>
    <t>table 2: green and dry weight of aspen sucker parts and number of stems / acre</t>
  </si>
  <si>
    <t>age:</t>
  </si>
  <si>
    <t>stems / ac.</t>
  </si>
  <si>
    <t>stems / ha:</t>
  </si>
  <si>
    <t>green weight (lbs./ac.)</t>
  </si>
  <si>
    <t>stem + bark</t>
  </si>
  <si>
    <t>dry weight (lbs./ ac.)</t>
  </si>
  <si>
    <t>twigs + leaves</t>
  </si>
  <si>
    <t>bark</t>
  </si>
  <si>
    <t>green weight (kg / ha)</t>
  </si>
  <si>
    <t>dry weight (kg / ha)</t>
  </si>
  <si>
    <t>VAR: variable allometric ratio, ln(y) = ln(a) + b*ln(dbh) + c*dbh, L: linear: Y = a + b*dbh</t>
  </si>
  <si>
    <t>dbh(cm), SEE: standard error of estimate, untransfored units, CF: correction factor for log-transformation bias</t>
  </si>
  <si>
    <t>§: tern not significantly different from 0 at P &lt; 0.05, may be omitted</t>
  </si>
  <si>
    <t>VAR</t>
  </si>
  <si>
    <t>L</t>
  </si>
  <si>
    <t>0,001§</t>
  </si>
  <si>
    <t>0,024§</t>
  </si>
  <si>
    <t>-0,003§</t>
  </si>
  <si>
    <t>Table 6: Root biomass (Mg / ha) for an age sequence of trembling aspen in Wisconsin (% of ecosystem total shown in parantheses)</t>
  </si>
  <si>
    <t>Small (&lt; 0.3cm)</t>
  </si>
  <si>
    <t>large (0.3 - 3.0 cm)</t>
  </si>
  <si>
    <t>stump</t>
  </si>
  <si>
    <t>R:S-ratio</t>
  </si>
  <si>
    <t>Overstory aspen</t>
  </si>
  <si>
    <t>(% and understory not transfered)</t>
  </si>
  <si>
    <t>DesRochers, A. &amp; V. J. Lieffers (2001): Root biomass of regenerating aspen (populus tremuloides) stands of different densities in Alberta. Can. J. For. Res 31:1012 - 1018</t>
  </si>
  <si>
    <t>Table 1: Mean plot characteristics …</t>
  </si>
  <si>
    <t>Site</t>
  </si>
  <si>
    <t>Age (yrs.)</t>
  </si>
  <si>
    <t>sucker density (no / ha)</t>
  </si>
  <si>
    <t>mean sucker height (m)</t>
  </si>
  <si>
    <t>mean basal diameter (cm)</t>
  </si>
  <si>
    <t>LAI (m^2 / ,^2)</t>
  </si>
  <si>
    <t>live roots (t / ha)</t>
  </si>
  <si>
    <t>new roots (kg / ha)</t>
  </si>
  <si>
    <t>dead roots (t / ha)</t>
  </si>
  <si>
    <t>shoot biomass (t / ha)</t>
  </si>
  <si>
    <t>Aufnahmen in Beständen 5 - 10 Jahre nach Kahlschlag</t>
  </si>
  <si>
    <t>---</t>
  </si>
  <si>
    <t>live root biomass (t / ha) as function of LAI: y = 3,5808 * LAI + 1,9169</t>
  </si>
  <si>
    <t>live root biomass (t / ha) as function of stand density (suckers / ha): y = 10,57 * ln (density) - 100,29 (r^2=0,7675, P &lt; 0,001)</t>
  </si>
  <si>
    <t>mean height increment / yr. (m) in relation to biomass of parental roots per sucker (kg): y = 1,0231 * ParBiom + 0,0705</t>
  </si>
  <si>
    <t>biomass of new roots (kg / ha): y = 34,149 * exp(0,1674*x), x: basal area (m^2 / ha)</t>
  </si>
  <si>
    <t>Überblick über diese EXCEL-Mappe</t>
  </si>
  <si>
    <t>Baumarten</t>
  </si>
  <si>
    <t>(in Klammern: nur in Orig.-quelle bisher)</t>
  </si>
  <si>
    <t>Autor/ Blatt (Chronologisch)</t>
  </si>
  <si>
    <t>Themenbereiche der Publikation/ des Tab.-blattes</t>
  </si>
  <si>
    <t>Fichte</t>
  </si>
  <si>
    <t>Buche</t>
  </si>
  <si>
    <t>weitere</t>
  </si>
  <si>
    <t xml:space="preserve">Stand: </t>
  </si>
  <si>
    <t>aspe.xls</t>
  </si>
  <si>
    <t>Aspe</t>
  </si>
  <si>
    <t>Schwarzpappeln</t>
  </si>
  <si>
    <t>Balsampappeln</t>
  </si>
  <si>
    <t>Hybriden</t>
  </si>
  <si>
    <t>Species</t>
  </si>
  <si>
    <t>Age</t>
  </si>
  <si>
    <t>Event</t>
  </si>
  <si>
    <t>Source</t>
  </si>
  <si>
    <t>Remarks</t>
  </si>
  <si>
    <t>max Longevity</t>
  </si>
  <si>
    <t>Longevity</t>
  </si>
  <si>
    <t>Alnus glutinosa</t>
  </si>
  <si>
    <t>approximate first year of reproduction</t>
  </si>
  <si>
    <t>Amann</t>
  </si>
  <si>
    <t>Bugmann</t>
  </si>
  <si>
    <t>Lanier</t>
  </si>
  <si>
    <t>Alnus incana</t>
  </si>
  <si>
    <t>Betula pendula</t>
  </si>
  <si>
    <t>approximate first year of reproduction, solitary trees</t>
  </si>
  <si>
    <t>approximate first year of reproduction, in closed stands</t>
  </si>
  <si>
    <t>Carpinus betulus</t>
  </si>
  <si>
    <t>Castanea sativa</t>
  </si>
  <si>
    <t>several centuries</t>
  </si>
  <si>
    <t>Corylus avellana</t>
  </si>
  <si>
    <t>Fagus sylvatica</t>
  </si>
  <si>
    <t>Populus tremula</t>
  </si>
  <si>
    <t>Quercus robur</t>
  </si>
  <si>
    <t>first occurence of mast years</t>
  </si>
  <si>
    <t>SDW</t>
  </si>
  <si>
    <t>Quercus petraea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</si>
</sst>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0.000"/>
    <numFmt numFmtId="183" formatCode="0.0000"/>
    <numFmt numFmtId="186" formatCode="0.0"/>
  </numFmts>
  <fonts count="23">
    <font>
      <sz val="10"/>
      <name val="Arial"/>
    </font>
    <font>
      <sz val="10"/>
      <name val="Arial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vertAlign val="superscript"/>
      <sz val="10"/>
      <name val="MS Sans Serif"/>
      <family val="2"/>
    </font>
    <font>
      <vertAlign val="superscript"/>
      <sz val="10"/>
      <name val="MS Sans Serif"/>
      <family val="2"/>
    </font>
    <font>
      <sz val="10"/>
      <name val="MS Sans Serif"/>
      <family val="2"/>
    </font>
    <font>
      <b/>
      <vertAlign val="subscript"/>
      <sz val="10"/>
      <name val="MS Sans Serif"/>
      <family val="2"/>
    </font>
    <font>
      <b/>
      <i/>
      <sz val="10"/>
      <name val="MS Sans Serif"/>
      <family val="2"/>
    </font>
    <font>
      <sz val="11"/>
      <name val="MS Sans Serif"/>
      <family val="2"/>
    </font>
    <font>
      <vertAlign val="subscript"/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name val="Symbol"/>
      <family val="1"/>
      <charset val="2"/>
    </font>
    <font>
      <u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sz val="10"/>
      <name val="Univers"/>
    </font>
    <font>
      <sz val="10"/>
      <name val="Univers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/>
  </cellStyleXfs>
  <cellXfs count="125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3"/>
    <xf numFmtId="0" fontId="1" fillId="0" borderId="0" xfId="3" applyFont="1"/>
    <xf numFmtId="0" fontId="1" fillId="0" borderId="0" xfId="3" applyFont="1" applyAlignment="1">
      <alignment wrapText="1"/>
    </xf>
    <xf numFmtId="0" fontId="5" fillId="0" borderId="0" xfId="3" applyFont="1"/>
    <xf numFmtId="0" fontId="4" fillId="0" borderId="0" xfId="1" applyNumberForma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/>
    </xf>
    <xf numFmtId="0" fontId="4" fillId="0" borderId="0" xfId="1" applyNumberFormat="1" applyFill="1" applyBorder="1" applyAlignment="1" applyProtection="1">
      <alignment vertical="top" wrapText="1"/>
    </xf>
    <xf numFmtId="2" fontId="4" fillId="0" borderId="0" xfId="1" applyNumberFormat="1" applyFont="1" applyFill="1" applyBorder="1" applyAlignment="1" applyProtection="1">
      <alignment vertical="top"/>
    </xf>
    <xf numFmtId="0" fontId="4" fillId="0" borderId="0" xfId="1" applyNumberFormat="1" applyFill="1" applyBorder="1" applyAlignment="1" applyProtection="1">
      <alignment horizontal="right" vertical="top"/>
    </xf>
    <xf numFmtId="0" fontId="2" fillId="0" borderId="0" xfId="1" applyNumberFormat="1" applyFont="1" applyFill="1" applyBorder="1" applyAlignment="1" applyProtection="1">
      <alignment vertical="top"/>
    </xf>
    <xf numFmtId="186" fontId="4" fillId="0" borderId="0" xfId="1" applyNumberFormat="1" applyFont="1" applyFill="1" applyBorder="1" applyAlignment="1" applyProtection="1">
      <alignment vertical="top"/>
    </xf>
    <xf numFmtId="186" fontId="3" fillId="0" borderId="0" xfId="1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 wrapText="1"/>
    </xf>
    <xf numFmtId="186" fontId="0" fillId="0" borderId="0" xfId="0" applyNumberFormat="1" applyFont="1" applyFill="1" applyBorder="1" applyAlignment="1" applyProtection="1">
      <alignment vertical="top"/>
    </xf>
    <xf numFmtId="2" fontId="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5" fillId="0" borderId="0" xfId="0" applyNumberFormat="1" applyFont="1" applyFill="1" applyBorder="1" applyAlignment="1" applyProtection="1">
      <alignment vertical="top"/>
    </xf>
    <xf numFmtId="0" fontId="13" fillId="0" borderId="0" xfId="3" applyFont="1"/>
    <xf numFmtId="2" fontId="3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186" fontId="8" fillId="0" borderId="0" xfId="1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top"/>
    </xf>
    <xf numFmtId="186" fontId="8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183" fontId="0" fillId="0" borderId="0" xfId="0" applyNumberFormat="1"/>
    <xf numFmtId="0" fontId="16" fillId="0" borderId="0" xfId="0" applyFont="1"/>
    <xf numFmtId="0" fontId="13" fillId="0" borderId="0" xfId="0" applyFont="1"/>
    <xf numFmtId="0" fontId="5" fillId="0" borderId="1" xfId="0" applyFont="1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Fill="1" applyBorder="1"/>
    <xf numFmtId="0" fontId="0" fillId="0" borderId="4" xfId="0" applyFill="1" applyBorder="1"/>
    <xf numFmtId="0" fontId="17" fillId="0" borderId="0" xfId="0" applyFont="1"/>
    <xf numFmtId="0" fontId="17" fillId="0" borderId="0" xfId="0" applyFont="1" applyAlignment="1">
      <alignment horizontal="right"/>
    </xf>
    <xf numFmtId="2" fontId="0" fillId="0" borderId="0" xfId="0" applyNumberFormat="1"/>
    <xf numFmtId="0" fontId="0" fillId="0" borderId="0" xfId="0" applyFill="1" applyBorder="1" applyAlignment="1"/>
    <xf numFmtId="0" fontId="18" fillId="0" borderId="0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5" xfId="0" applyBorder="1"/>
    <xf numFmtId="14" fontId="0" fillId="0" borderId="6" xfId="0" applyNumberFormat="1" applyBorder="1"/>
    <xf numFmtId="0" fontId="0" fillId="0" borderId="7" xfId="0" applyBorder="1"/>
    <xf numFmtId="0" fontId="0" fillId="2" borderId="0" xfId="0" applyFill="1"/>
    <xf numFmtId="17" fontId="0" fillId="0" borderId="0" xfId="0" applyNumberFormat="1"/>
    <xf numFmtId="17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0" fontId="0" fillId="3" borderId="0" xfId="0" applyFill="1"/>
    <xf numFmtId="17" fontId="0" fillId="3" borderId="1" xfId="0" applyNumberFormat="1" applyFill="1" applyBorder="1"/>
    <xf numFmtId="0" fontId="0" fillId="0" borderId="8" xfId="0" applyBorder="1"/>
    <xf numFmtId="0" fontId="0" fillId="3" borderId="8" xfId="0" applyFill="1" applyBorder="1"/>
    <xf numFmtId="0" fontId="13" fillId="0" borderId="0" xfId="0" applyFont="1" applyFill="1" applyBorder="1" applyAlignment="1">
      <alignment horizontal="left"/>
    </xf>
    <xf numFmtId="17" fontId="0" fillId="0" borderId="0" xfId="0" applyNumberFormat="1" applyBorder="1"/>
    <xf numFmtId="0" fontId="5" fillId="0" borderId="0" xfId="0" applyFont="1" applyFill="1" applyBorder="1" applyAlignment="1"/>
    <xf numFmtId="0" fontId="0" fillId="0" borderId="5" xfId="0" applyBorder="1" applyAlignment="1">
      <alignment vertical="top" wrapText="1"/>
    </xf>
    <xf numFmtId="0" fontId="5" fillId="2" borderId="0" xfId="0" applyFont="1" applyFill="1"/>
    <xf numFmtId="0" fontId="0" fillId="2" borderId="0" xfId="0" applyFill="1" applyAlignment="1">
      <alignment vertical="top" wrapText="1"/>
    </xf>
    <xf numFmtId="186" fontId="20" fillId="0" borderId="2" xfId="0" applyNumberFormat="1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0" fontId="0" fillId="0" borderId="9" xfId="0" applyBorder="1"/>
    <xf numFmtId="0" fontId="5" fillId="0" borderId="5" xfId="0" applyFont="1" applyBorder="1"/>
    <xf numFmtId="1" fontId="20" fillId="0" borderId="10" xfId="0" applyNumberFormat="1" applyFont="1" applyBorder="1" applyAlignment="1">
      <alignment horizontal="center"/>
    </xf>
    <xf numFmtId="1" fontId="21" fillId="0" borderId="10" xfId="0" applyNumberFormat="1" applyFont="1" applyBorder="1" applyAlignment="1">
      <alignment horizontal="center" wrapText="1"/>
    </xf>
    <xf numFmtId="0" fontId="5" fillId="0" borderId="10" xfId="0" applyFont="1" applyBorder="1"/>
    <xf numFmtId="0" fontId="0" fillId="0" borderId="11" xfId="0" applyBorder="1"/>
    <xf numFmtId="0" fontId="0" fillId="0" borderId="10" xfId="0" applyBorder="1"/>
    <xf numFmtId="1" fontId="20" fillId="0" borderId="0" xfId="0" applyNumberFormat="1" applyFont="1" applyBorder="1" applyAlignment="1">
      <alignment horizontal="center"/>
    </xf>
    <xf numFmtId="186" fontId="20" fillId="0" borderId="10" xfId="0" applyNumberFormat="1" applyFont="1" applyBorder="1" applyAlignment="1">
      <alignment horizontal="center"/>
    </xf>
    <xf numFmtId="0" fontId="0" fillId="0" borderId="12" xfId="0" applyBorder="1"/>
    <xf numFmtId="0" fontId="0" fillId="0" borderId="12" xfId="0" quotePrefix="1" applyBorder="1"/>
    <xf numFmtId="0" fontId="5" fillId="0" borderId="3" xfId="0" applyFont="1" applyBorder="1"/>
    <xf numFmtId="0" fontId="0" fillId="0" borderId="0" xfId="0" quotePrefix="1"/>
    <xf numFmtId="17" fontId="0" fillId="0" borderId="3" xfId="0" applyNumberFormat="1" applyBorder="1"/>
    <xf numFmtId="0" fontId="4" fillId="0" borderId="0" xfId="2" applyNumberFormat="1" applyFont="1" applyFill="1" applyBorder="1" applyAlignment="1" applyProtection="1">
      <alignment vertical="top"/>
    </xf>
    <xf numFmtId="2" fontId="4" fillId="0" borderId="0" xfId="2" applyNumberFormat="1" applyFont="1" applyFill="1" applyBorder="1" applyAlignment="1" applyProtection="1">
      <alignment vertical="top" wrapText="1"/>
    </xf>
    <xf numFmtId="182" fontId="0" fillId="0" borderId="0" xfId="0" applyNumberFormat="1"/>
    <xf numFmtId="0" fontId="0" fillId="0" borderId="3" xfId="0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16" fontId="0" fillId="0" borderId="0" xfId="0" quotePrefix="1" applyNumberFormat="1"/>
    <xf numFmtId="0" fontId="22" fillId="0" borderId="0" xfId="0" applyFont="1"/>
    <xf numFmtId="0" fontId="0" fillId="0" borderId="8" xfId="0" applyBorder="1" applyAlignment="1">
      <alignment wrapText="1"/>
    </xf>
    <xf numFmtId="0" fontId="5" fillId="0" borderId="13" xfId="0" applyFont="1" applyBorder="1"/>
    <xf numFmtId="2" fontId="0" fillId="0" borderId="8" xfId="0" applyNumberFormat="1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0" fontId="0" fillId="0" borderId="8" xfId="0" applyFill="1" applyBorder="1"/>
    <xf numFmtId="0" fontId="0" fillId="0" borderId="8" xfId="0" applyFill="1" applyBorder="1" applyAlignment="1">
      <alignment wrapText="1"/>
    </xf>
    <xf numFmtId="2" fontId="0" fillId="0" borderId="8" xfId="0" applyNumberFormat="1" applyFill="1" applyBorder="1"/>
    <xf numFmtId="1" fontId="0" fillId="0" borderId="0" xfId="0" applyNumberFormat="1"/>
    <xf numFmtId="2" fontId="5" fillId="0" borderId="0" xfId="0" applyNumberFormat="1" applyFont="1"/>
    <xf numFmtId="186" fontId="0" fillId="0" borderId="0" xfId="0" applyNumberFormat="1"/>
    <xf numFmtId="0" fontId="0" fillId="0" borderId="14" xfId="0" applyBorder="1"/>
    <xf numFmtId="0" fontId="0" fillId="0" borderId="15" xfId="0" applyBorder="1"/>
    <xf numFmtId="0" fontId="0" fillId="0" borderId="16" xfId="0" applyBorder="1"/>
    <xf numFmtId="2" fontId="0" fillId="0" borderId="1" xfId="0" applyNumberFormat="1" applyBorder="1"/>
    <xf numFmtId="2" fontId="0" fillId="0" borderId="16" xfId="0" applyNumberFormat="1" applyBorder="1"/>
    <xf numFmtId="0" fontId="0" fillId="0" borderId="17" xfId="0" applyFill="1" applyBorder="1"/>
    <xf numFmtId="0" fontId="0" fillId="0" borderId="17" xfId="0" applyBorder="1"/>
    <xf numFmtId="0" fontId="4" fillId="0" borderId="0" xfId="1" applyNumberForma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0" fillId="0" borderId="3" xfId="0" applyBorder="1" applyAlignment="1">
      <alignment vertical="top"/>
    </xf>
    <xf numFmtId="0" fontId="0" fillId="0" borderId="0" xfId="0" applyAlignment="1">
      <alignment horizontal="center" vertical="top" wrapText="1"/>
    </xf>
  </cellXfs>
  <cellStyles count="4">
    <cellStyle name="Standard" xfId="0" builtinId="0"/>
    <cellStyle name="Standard_birke" xfId="1"/>
    <cellStyle name="Standard_birke_neu" xfId="2"/>
    <cellStyle name="Standard_parameteriz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Höhenkurve</a:t>
            </a:r>
          </a:p>
        </c:rich>
      </c:tx>
      <c:layout>
        <c:manualLayout>
          <c:xMode val="edge"/>
          <c:yMode val="edge"/>
          <c:x val="0.44845383399133881"/>
          <c:y val="2.8239202657807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010343010200049E-2"/>
          <c:y val="0.12790697674418605"/>
          <c:w val="0.85360867711454835"/>
          <c:h val="0.75747508305647837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[2]Bestandeshöhenkurve!$E$1</c:f>
              <c:strCache>
                <c:ptCount val="1"/>
                <c:pt idx="0">
                  <c:v>Höhe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Mode val="edge"/>
                  <c:yMode val="edge"/>
                  <c:x val="0.68556735541204661"/>
                  <c:y val="0.5614617940199335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8866014047405588"/>
                  <c:y val="0.6511627906976744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[2]Bestandeshöhenkurve!$B$2:$B$70</c:f>
              <c:numCache>
                <c:formatCode>General</c:formatCode>
                <c:ptCount val="69"/>
                <c:pt idx="0">
                  <c:v>33</c:v>
                </c:pt>
                <c:pt idx="1">
                  <c:v>26.15</c:v>
                </c:pt>
                <c:pt idx="2">
                  <c:v>31.3</c:v>
                </c:pt>
                <c:pt idx="3">
                  <c:v>26</c:v>
                </c:pt>
                <c:pt idx="4">
                  <c:v>25.8</c:v>
                </c:pt>
                <c:pt idx="5">
                  <c:v>24.2</c:v>
                </c:pt>
                <c:pt idx="6">
                  <c:v>13.2</c:v>
                </c:pt>
                <c:pt idx="7">
                  <c:v>27</c:v>
                </c:pt>
                <c:pt idx="8">
                  <c:v>22.9</c:v>
                </c:pt>
                <c:pt idx="9">
                  <c:v>30</c:v>
                </c:pt>
                <c:pt idx="10">
                  <c:v>29.6</c:v>
                </c:pt>
                <c:pt idx="11">
                  <c:v>14.6</c:v>
                </c:pt>
                <c:pt idx="12">
                  <c:v>30.3</c:v>
                </c:pt>
                <c:pt idx="13">
                  <c:v>30.1</c:v>
                </c:pt>
                <c:pt idx="14">
                  <c:v>25.5</c:v>
                </c:pt>
                <c:pt idx="15">
                  <c:v>29.6</c:v>
                </c:pt>
              </c:numCache>
            </c:numRef>
          </c:xVal>
          <c:yVal>
            <c:numRef>
              <c:f>[2]Bestandeshöhenkurve!$E$2:$E$70</c:f>
              <c:numCache>
                <c:formatCode>General</c:formatCode>
                <c:ptCount val="69"/>
                <c:pt idx="0">
                  <c:v>23.43</c:v>
                </c:pt>
                <c:pt idx="1">
                  <c:v>24.15</c:v>
                </c:pt>
                <c:pt idx="2">
                  <c:v>23.51</c:v>
                </c:pt>
                <c:pt idx="3">
                  <c:v>24.27</c:v>
                </c:pt>
                <c:pt idx="4">
                  <c:v>23.13</c:v>
                </c:pt>
                <c:pt idx="5">
                  <c:v>23.91</c:v>
                </c:pt>
                <c:pt idx="6">
                  <c:v>19.87</c:v>
                </c:pt>
                <c:pt idx="7">
                  <c:v>24.240000000000002</c:v>
                </c:pt>
                <c:pt idx="8">
                  <c:v>23.004999999999999</c:v>
                </c:pt>
                <c:pt idx="9">
                  <c:v>21.96</c:v>
                </c:pt>
                <c:pt idx="10">
                  <c:v>20.919999999999998</c:v>
                </c:pt>
                <c:pt idx="11">
                  <c:v>15.865</c:v>
                </c:pt>
                <c:pt idx="12">
                  <c:v>22.790000000000003</c:v>
                </c:pt>
                <c:pt idx="13">
                  <c:v>24.7</c:v>
                </c:pt>
                <c:pt idx="14">
                  <c:v>22.55</c:v>
                </c:pt>
                <c:pt idx="15">
                  <c:v>23.8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82624"/>
        <c:axId val="253483200"/>
      </c:scatterChart>
      <c:valAx>
        <c:axId val="2534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BHD</a:t>
                </a:r>
              </a:p>
            </c:rich>
          </c:tx>
          <c:layout>
            <c:manualLayout>
              <c:xMode val="edge"/>
              <c:yMode val="edge"/>
              <c:x val="0.47835075625742807"/>
              <c:y val="0.936877076411960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83200"/>
        <c:crosses val="autoZero"/>
        <c:crossBetween val="midCat"/>
      </c:valAx>
      <c:valAx>
        <c:axId val="253483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Baumhöhe</a:t>
                </a:r>
              </a:p>
            </c:rich>
          </c:tx>
          <c:layout>
            <c:manualLayout>
              <c:xMode val="edge"/>
              <c:yMode val="edge"/>
              <c:x val="1.6494853664049243E-2"/>
              <c:y val="0.446843853820597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826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000035236808977"/>
          <c:y val="0.45681063122923588"/>
          <c:w val="0.1567011098084678"/>
          <c:h val="0.106312292358803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foliage mass - tree height relation</a:t>
            </a:r>
          </a:p>
        </c:rich>
      </c:tx>
      <c:layout>
        <c:manualLayout>
          <c:xMode val="edge"/>
          <c:yMode val="edge"/>
          <c:x val="0.26432556204291285"/>
          <c:y val="3.29670771901254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3587453416934"/>
          <c:y val="0.19230795027573172"/>
          <c:w val="0.50092466652887679"/>
          <c:h val="0.5934073894222579"/>
        </c:manualLayout>
      </c:layout>
      <c:scatterChart>
        <c:scatterStyle val="lineMarker"/>
        <c:varyColors val="0"/>
        <c:ser>
          <c:idx val="0"/>
          <c:order val="0"/>
          <c:tx>
            <c:strRef>
              <c:f>Osawa!$I$5</c:f>
              <c:strCache>
                <c:ptCount val="1"/>
                <c:pt idx="0">
                  <c:v>foliage mass: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1349417446548502"/>
                  <c:y val="0.6401107487749355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Osawa!$D$6:$D$9</c:f>
              <c:numCache>
                <c:formatCode>General</c:formatCode>
                <c:ptCount val="4"/>
                <c:pt idx="0">
                  <c:v>4.8899999999999997</c:v>
                </c:pt>
                <c:pt idx="1">
                  <c:v>6.57</c:v>
                </c:pt>
                <c:pt idx="2">
                  <c:v>8.75</c:v>
                </c:pt>
                <c:pt idx="3">
                  <c:v>11</c:v>
                </c:pt>
              </c:numCache>
            </c:numRef>
          </c:xVal>
          <c:yVal>
            <c:numRef>
              <c:f>Osawa!$I$6:$I$9</c:f>
              <c:numCache>
                <c:formatCode>General</c:formatCode>
                <c:ptCount val="4"/>
                <c:pt idx="0">
                  <c:v>124.85625577778552</c:v>
                </c:pt>
                <c:pt idx="1">
                  <c:v>258.72745632382862</c:v>
                </c:pt>
                <c:pt idx="2">
                  <c:v>648.73339513297242</c:v>
                </c:pt>
                <c:pt idx="3">
                  <c:v>1558.2773762385241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16480"/>
        <c:axId val="233717056"/>
      </c:scatterChart>
      <c:valAx>
        <c:axId val="23371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tree height (m)</a:t>
                </a:r>
              </a:p>
            </c:rich>
          </c:tx>
          <c:layout>
            <c:manualLayout>
              <c:xMode val="edge"/>
              <c:yMode val="edge"/>
              <c:x val="0.31608161614921743"/>
              <c:y val="0.8818693148358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7056"/>
        <c:crosses val="autoZero"/>
        <c:crossBetween val="midCat"/>
      </c:valAx>
      <c:valAx>
        <c:axId val="233717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foliage mass (kg)</a:t>
                </a:r>
              </a:p>
            </c:rich>
          </c:tx>
          <c:layout>
            <c:manualLayout>
              <c:xMode val="edge"/>
              <c:yMode val="edge"/>
              <c:x val="2.9574888060745493E-2"/>
              <c:y val="0.32142900260372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64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610045245029862"/>
          <c:y val="0.3763741312539321"/>
          <c:w val="0.2791130060732856"/>
          <c:h val="0.228022283898367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547861507128309"/>
          <c:y val="3.64964154033406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2189784924200438"/>
          <c:w val="0.47250509164969451"/>
          <c:h val="0.52919802334843924"/>
        </c:manualLayout>
      </c:layout>
      <c:scatterChart>
        <c:scatterStyle val="lineMarker"/>
        <c:varyColors val="0"/>
        <c:ser>
          <c:idx val="0"/>
          <c:order val="0"/>
          <c:tx>
            <c:strRef>
              <c:f>Osawa!$J$5</c:f>
              <c:strCache>
                <c:ptCount val="1"/>
                <c:pt idx="0">
                  <c:v>mean tree height (m)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0875763747454179"/>
                  <c:y val="0.7043808172844742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Osawa!$I$6:$I$9</c:f>
              <c:numCache>
                <c:formatCode>General</c:formatCode>
                <c:ptCount val="4"/>
                <c:pt idx="0">
                  <c:v>124.85625577778552</c:v>
                </c:pt>
                <c:pt idx="1">
                  <c:v>258.72745632382862</c:v>
                </c:pt>
                <c:pt idx="2">
                  <c:v>648.73339513297242</c:v>
                </c:pt>
                <c:pt idx="3">
                  <c:v>1558.2773762385241</c:v>
                </c:pt>
              </c:numCache>
            </c:numRef>
          </c:xVal>
          <c:yVal>
            <c:numRef>
              <c:f>Osawa!$J$6:$J$9</c:f>
              <c:numCache>
                <c:formatCode>General</c:formatCode>
                <c:ptCount val="4"/>
                <c:pt idx="0">
                  <c:v>4.8899999999999997</c:v>
                </c:pt>
                <c:pt idx="1">
                  <c:v>6.57</c:v>
                </c:pt>
                <c:pt idx="2">
                  <c:v>8.75</c:v>
                </c:pt>
                <c:pt idx="3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78016"/>
        <c:axId val="253478592"/>
      </c:scatterChart>
      <c:valAx>
        <c:axId val="2534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foliage mass (kg)</a:t>
                </a:r>
              </a:p>
            </c:rich>
          </c:tx>
          <c:layout>
            <c:manualLayout>
              <c:xMode val="edge"/>
              <c:yMode val="edge"/>
              <c:x val="0.25661914460285135"/>
              <c:y val="0.861315403518838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78592"/>
        <c:crosses val="autoZero"/>
        <c:crossBetween val="midCat"/>
      </c:valAx>
      <c:valAx>
        <c:axId val="253478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height (m)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57664870952738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780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87780040733202"/>
          <c:y val="0.34671594633173602"/>
          <c:w val="0.32382892057026474"/>
          <c:h val="0.273723115525054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Crown width (Beetle 1974)</a:t>
            </a:r>
          </a:p>
        </c:rich>
      </c:tx>
      <c:layout>
        <c:manualLayout>
          <c:xMode val="edge"/>
          <c:yMode val="edge"/>
          <c:x val="7.7393075356415472E-2"/>
          <c:y val="4.52961672473867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05295315682282"/>
          <c:y val="0.22299651567944251"/>
          <c:w val="0.57433808553971488"/>
          <c:h val="0.5435540069686410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5763747454175157"/>
                  <c:y val="0.5470383275261323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4541751527494904"/>
                  <c:y val="0.707317073170731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og"/>
            <c:dispRSqr val="1"/>
            <c:dispEq val="1"/>
            <c:trendlineLbl>
              <c:layout>
                <c:manualLayout>
                  <c:xMode val="edge"/>
                  <c:yMode val="edge"/>
                  <c:x val="0.69450101832993894"/>
                  <c:y val="0.8397212543554006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'##dbh-rKr.'!$D$4:$D$9</c:f>
              <c:numCache>
                <c:formatCode>General</c:formatCode>
                <c:ptCount val="6"/>
                <c:pt idx="0">
                  <c:v>5.08</c:v>
                </c:pt>
                <c:pt idx="1">
                  <c:v>12.7</c:v>
                </c:pt>
                <c:pt idx="2">
                  <c:v>17.78</c:v>
                </c:pt>
                <c:pt idx="3">
                  <c:v>30.48</c:v>
                </c:pt>
                <c:pt idx="4">
                  <c:v>33.020000000000003</c:v>
                </c:pt>
                <c:pt idx="5">
                  <c:v>45.72</c:v>
                </c:pt>
              </c:numCache>
            </c:numRef>
          </c:xVal>
          <c:yVal>
            <c:numRef>
              <c:f>'##dbh-rKr.'!$E$4:$E$9</c:f>
              <c:numCache>
                <c:formatCode>General</c:formatCode>
                <c:ptCount val="6"/>
                <c:pt idx="0">
                  <c:v>1.524</c:v>
                </c:pt>
                <c:pt idx="1">
                  <c:v>2.1335999999999999</c:v>
                </c:pt>
                <c:pt idx="2">
                  <c:v>2.7431999999999999</c:v>
                </c:pt>
                <c:pt idx="3">
                  <c:v>3.6576</c:v>
                </c:pt>
                <c:pt idx="4">
                  <c:v>3.9624000000000001</c:v>
                </c:pt>
                <c:pt idx="5">
                  <c:v>4.2671999999999999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48672"/>
        <c:axId val="233749248"/>
      </c:scatterChart>
      <c:valAx>
        <c:axId val="23374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 (cm)</a:t>
                </a:r>
              </a:p>
            </c:rich>
          </c:tx>
          <c:layout>
            <c:manualLayout>
              <c:xMode val="edge"/>
              <c:yMode val="edge"/>
              <c:x val="0.34215885947046842"/>
              <c:y val="0.87456445993031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9248"/>
        <c:crosses val="autoZero"/>
        <c:crossBetween val="midCat"/>
      </c:valAx>
      <c:valAx>
        <c:axId val="23374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crown width (m)</a:t>
                </a:r>
              </a:p>
            </c:rich>
          </c:tx>
          <c:layout>
            <c:manualLayout>
              <c:xMode val="edge"/>
              <c:yMode val="edge"/>
              <c:x val="2.8513238289205704E-2"/>
              <c:y val="0.31010452961672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86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820773930753564"/>
          <c:y val="1.7421602787456445E-2"/>
          <c:w val="0.29531568228105909"/>
          <c:h val="0.5191637630662020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Vergleich Kronenbreiten</a:t>
            </a:r>
          </a:p>
        </c:rich>
      </c:tx>
      <c:layout>
        <c:manualLayout>
          <c:xMode val="edge"/>
          <c:yMode val="edge"/>
          <c:x val="0.1195654289186851"/>
          <c:y val="4.228865994407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81181855012055"/>
          <c:y val="0.17412977624032241"/>
          <c:w val="0.51268206642405889"/>
          <c:h val="0.63930503562518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'##dbh-rKr.'!$B$35</c:f>
              <c:strCache>
                <c:ptCount val="1"/>
                <c:pt idx="0">
                  <c:v>CW_Bech_03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9565340461780423"/>
                  <c:y val="0.492538509936911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'##dbh-rKr.'!$B$36:$B$55</c:f>
              <c:numCache>
                <c:formatCode>General</c:formatCode>
                <c:ptCount val="20"/>
                <c:pt idx="4">
                  <c:v>3.3310764000000006</c:v>
                </c:pt>
                <c:pt idx="5">
                  <c:v>3.7150164000000001</c:v>
                </c:pt>
                <c:pt idx="6">
                  <c:v>4.0989564000000005</c:v>
                </c:pt>
                <c:pt idx="7">
                  <c:v>4.4828964000000004</c:v>
                </c:pt>
                <c:pt idx="8">
                  <c:v>4.8668364000000004</c:v>
                </c:pt>
                <c:pt idx="9">
                  <c:v>5.2507764000000003</c:v>
                </c:pt>
                <c:pt idx="10">
                  <c:v>5.6347164000000003</c:v>
                </c:pt>
                <c:pt idx="11">
                  <c:v>6.0186564000000011</c:v>
                </c:pt>
                <c:pt idx="12">
                  <c:v>6.4025964000000011</c:v>
                </c:pt>
                <c:pt idx="13">
                  <c:v>6.786536400000001</c:v>
                </c:pt>
                <c:pt idx="14">
                  <c:v>7.1704764000000001</c:v>
                </c:pt>
                <c:pt idx="15">
                  <c:v>7.5544164</c:v>
                </c:pt>
                <c:pt idx="16">
                  <c:v>7.9383564</c:v>
                </c:pt>
                <c:pt idx="17">
                  <c:v>8.322296399999999</c:v>
                </c:pt>
                <c:pt idx="18">
                  <c:v>8.7062364000000017</c:v>
                </c:pt>
                <c:pt idx="19">
                  <c:v>9.0901764000000007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'##dbh-rKr.'!$C$35</c:f>
              <c:strCache>
                <c:ptCount val="1"/>
                <c:pt idx="0">
                  <c:v>CW_Bech_04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9203020980208652"/>
                  <c:y val="0.6044790803771192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'##dbh-rKr.'!$C$36:$C$55</c:f>
              <c:numCache>
                <c:formatCode>General</c:formatCode>
                <c:ptCount val="20"/>
                <c:pt idx="4">
                  <c:v>2.5820472000000003</c:v>
                </c:pt>
                <c:pt idx="5">
                  <c:v>2.9429172000000006</c:v>
                </c:pt>
                <c:pt idx="6">
                  <c:v>3.3037872000000004</c:v>
                </c:pt>
                <c:pt idx="7">
                  <c:v>3.6646572000000011</c:v>
                </c:pt>
                <c:pt idx="8">
                  <c:v>4.0255272</c:v>
                </c:pt>
                <c:pt idx="9">
                  <c:v>4.3863972000000011</c:v>
                </c:pt>
                <c:pt idx="10">
                  <c:v>4.7472672000000005</c:v>
                </c:pt>
                <c:pt idx="11">
                  <c:v>5.1081372000000007</c:v>
                </c:pt>
                <c:pt idx="12">
                  <c:v>5.469007200000001</c:v>
                </c:pt>
                <c:pt idx="13">
                  <c:v>5.8298772000000003</c:v>
                </c:pt>
                <c:pt idx="14">
                  <c:v>6.1907472000000006</c:v>
                </c:pt>
                <c:pt idx="15">
                  <c:v>6.5516172000000017</c:v>
                </c:pt>
                <c:pt idx="16">
                  <c:v>6.9124872000000011</c:v>
                </c:pt>
                <c:pt idx="17">
                  <c:v>7.2733572000000013</c:v>
                </c:pt>
                <c:pt idx="18">
                  <c:v>7.6342272000000007</c:v>
                </c:pt>
                <c:pt idx="19">
                  <c:v>7.9950972000000009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'##dbh-rKr.'!$D$35</c:f>
              <c:strCache>
                <c:ptCount val="1"/>
                <c:pt idx="0">
                  <c:v>CW_Beetle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010881968413808"/>
                  <c:y val="0.716419650817326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'##dbh-rKr.'!$D$36:$D$55</c:f>
              <c:numCache>
                <c:formatCode>General</c:formatCode>
                <c:ptCount val="20"/>
                <c:pt idx="1">
                  <c:v>1.524</c:v>
                </c:pt>
                <c:pt idx="4">
                  <c:v>2.1335999999999999</c:v>
                </c:pt>
                <c:pt idx="6">
                  <c:v>2.7431999999999999</c:v>
                </c:pt>
                <c:pt idx="11">
                  <c:v>3.6576</c:v>
                </c:pt>
                <c:pt idx="12">
                  <c:v>3.9624000000000001</c:v>
                </c:pt>
                <c:pt idx="17">
                  <c:v>4.2671999999999999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'##dbh-rKr.'!$E$35</c:f>
              <c:strCache>
                <c:ptCount val="1"/>
                <c:pt idx="0">
                  <c:v>CW_Raetzel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0289979424923976"/>
                  <c:y val="0.8582110400415889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'##dbh-rKr.'!$E$36:$E$55</c:f>
              <c:numCache>
                <c:formatCode>General</c:formatCode>
                <c:ptCount val="20"/>
                <c:pt idx="0">
                  <c:v>0.69763375000000005</c:v>
                </c:pt>
                <c:pt idx="1">
                  <c:v>1.3952675000000001</c:v>
                </c:pt>
                <c:pt idx="2">
                  <c:v>2.0929012500000002</c:v>
                </c:pt>
                <c:pt idx="3">
                  <c:v>2.7905350000000002</c:v>
                </c:pt>
                <c:pt idx="4">
                  <c:v>3.4881687500000003</c:v>
                </c:pt>
                <c:pt idx="5">
                  <c:v>4.1858025000000003</c:v>
                </c:pt>
                <c:pt idx="6">
                  <c:v>4.8834362499999999</c:v>
                </c:pt>
                <c:pt idx="7">
                  <c:v>5.5810700000000004</c:v>
                </c:pt>
                <c:pt idx="8">
                  <c:v>6.27870375</c:v>
                </c:pt>
                <c:pt idx="9">
                  <c:v>6.9763375000000005</c:v>
                </c:pt>
                <c:pt idx="10">
                  <c:v>7.6739712500000001</c:v>
                </c:pt>
                <c:pt idx="11">
                  <c:v>8.3716050000000006</c:v>
                </c:pt>
                <c:pt idx="12">
                  <c:v>9.0692387500000002</c:v>
                </c:pt>
                <c:pt idx="13">
                  <c:v>9.7668724999999998</c:v>
                </c:pt>
                <c:pt idx="14">
                  <c:v>10.464506250000001</c:v>
                </c:pt>
                <c:pt idx="15">
                  <c:v>11.162140000000001</c:v>
                </c:pt>
                <c:pt idx="16">
                  <c:v>11.85977375</c:v>
                </c:pt>
                <c:pt idx="17">
                  <c:v>12.5574075</c:v>
                </c:pt>
                <c:pt idx="18">
                  <c:v>13.25504125</c:v>
                </c:pt>
                <c:pt idx="19">
                  <c:v>13.952675000000001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12768"/>
        <c:axId val="252913344"/>
      </c:scatterChart>
      <c:valAx>
        <c:axId val="25291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BHD (cm)</a:t>
                </a:r>
              </a:p>
            </c:rich>
          </c:tx>
          <c:layout>
            <c:manualLayout>
              <c:xMode val="edge"/>
              <c:yMode val="edge"/>
              <c:x val="0.32608753341459573"/>
              <c:y val="0.890549427057648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3344"/>
        <c:crosses val="autoZero"/>
        <c:crossBetween val="midCat"/>
      </c:valAx>
      <c:valAx>
        <c:axId val="252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Kronenbreite (m)</a:t>
                </a:r>
              </a:p>
            </c:rich>
          </c:tx>
          <c:layout>
            <c:manualLayout>
              <c:xMode val="edge"/>
              <c:yMode val="edge"/>
              <c:x val="3.8043545565036169E-2"/>
              <c:y val="0.355722257176658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27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23305386848585"/>
          <c:y val="4.9751364640092118E-2"/>
          <c:w val="0.33152232563817235"/>
          <c:h val="0.430349304136796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928716904277"/>
          <c:y val="7.0000227865325088E-2"/>
          <c:w val="0.75356415478615069"/>
          <c:h val="0.70000227865325082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45824847250509165"/>
                  <c:y val="8.3333604601577474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'##dbh-rKr.'!$A$67:$A$69</c:f>
              <c:numCache>
                <c:formatCode>General</c:formatCode>
                <c:ptCount val="3"/>
                <c:pt idx="0">
                  <c:v>25</c:v>
                </c:pt>
                <c:pt idx="1">
                  <c:v>43</c:v>
                </c:pt>
                <c:pt idx="2">
                  <c:v>62</c:v>
                </c:pt>
              </c:numCache>
            </c:numRef>
          </c:xVal>
          <c:yVal>
            <c:numRef>
              <c:f>'##dbh-rKr.'!$D$67:$D$69</c:f>
              <c:numCache>
                <c:formatCode>General</c:formatCode>
                <c:ptCount val="3"/>
                <c:pt idx="0">
                  <c:v>1.5</c:v>
                </c:pt>
                <c:pt idx="1">
                  <c:v>3</c:v>
                </c:pt>
                <c:pt idx="2">
                  <c:v>4.0999999999999996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strRef>
              <c:f>'##dbh-rKr.'!$I$73:$I$85</c:f>
              <c:strCache>
                <c:ptCount val="13"/>
                <c:pt idx="0">
                  <c:v>dbh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strCache>
            </c:strRef>
          </c:xVal>
          <c:yVal>
            <c:numRef>
              <c:f>'##dbh-rKr.'!$H$73:$H$85</c:f>
              <c:numCache>
                <c:formatCode>General</c:formatCode>
                <c:ptCount val="13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23828920570264767"/>
                  <c:y val="0.636668739156051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'##dbh-rKr.'!$I$74:$I$85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'##dbh-rKr.'!$J$74:$J$85</c:f>
              <c:numCache>
                <c:formatCode>General</c:formatCode>
                <c:ptCount val="12"/>
                <c:pt idx="0">
                  <c:v>0.42825155746653942</c:v>
                </c:pt>
                <c:pt idx="1">
                  <c:v>0.53772057906426629</c:v>
                </c:pt>
                <c:pt idx="2">
                  <c:v>0.64429010615665416</c:v>
                </c:pt>
                <c:pt idx="3">
                  <c:v>0.74694583766007416</c:v>
                </c:pt>
                <c:pt idx="4">
                  <c:v>0.84590123193424527</c:v>
                </c:pt>
                <c:pt idx="5">
                  <c:v>0.94155558454967025</c:v>
                </c:pt>
                <c:pt idx="6">
                  <c:v>1.0342947129604976</c:v>
                </c:pt>
                <c:pt idx="7">
                  <c:v>1.1244527757024789</c:v>
                </c:pt>
                <c:pt idx="8">
                  <c:v>1.2123113292974024</c:v>
                </c:pt>
                <c:pt idx="9">
                  <c:v>1.2981066535735706</c:v>
                </c:pt>
                <c:pt idx="10">
                  <c:v>1.3820378586573177</c:v>
                </c:pt>
                <c:pt idx="11">
                  <c:v>1.464273927497949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15648"/>
        <c:axId val="252916224"/>
      </c:scatterChart>
      <c:valAx>
        <c:axId val="25291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 [cm]</a:t>
                </a:r>
              </a:p>
            </c:rich>
          </c:tx>
          <c:layout>
            <c:manualLayout>
              <c:xMode val="edge"/>
              <c:yMode val="edge"/>
              <c:x val="0.45621181262729127"/>
              <c:y val="0.87333617622453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6224"/>
        <c:crosses val="autoZero"/>
        <c:crossBetween val="midCat"/>
      </c:valAx>
      <c:valAx>
        <c:axId val="252916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crown radius [m]</a:t>
                </a:r>
              </a:p>
            </c:rich>
          </c:tx>
          <c:layout>
            <c:manualLayout>
              <c:xMode val="edge"/>
              <c:yMode val="edge"/>
              <c:x val="3.0549898167006109E-2"/>
              <c:y val="0.236667437068480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564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6116910229645"/>
          <c:y val="7.0000227865325088E-2"/>
          <c:w val="0.75365344467640916"/>
          <c:h val="0.70333562283731388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'##BlattmasseHöheAs'!$E$4:$E$18</c:f>
              <c:numCache>
                <c:formatCode>General</c:formatCode>
                <c:ptCount val="15"/>
                <c:pt idx="0">
                  <c:v>0.12485625577778552</c:v>
                </c:pt>
                <c:pt idx="1">
                  <c:v>0.2587274563238286</c:v>
                </c:pt>
                <c:pt idx="2">
                  <c:v>0.64873339513297246</c:v>
                </c:pt>
                <c:pt idx="3">
                  <c:v>1.558277376238524</c:v>
                </c:pt>
                <c:pt idx="4">
                  <c:v>0.38119999999999998</c:v>
                </c:pt>
                <c:pt idx="5">
                  <c:v>0.33169999999999999</c:v>
                </c:pt>
                <c:pt idx="6">
                  <c:v>0.60520000000000007</c:v>
                </c:pt>
                <c:pt idx="7">
                  <c:v>0.6018</c:v>
                </c:pt>
                <c:pt idx="8">
                  <c:v>0.3463</c:v>
                </c:pt>
                <c:pt idx="9">
                  <c:v>0.18240000000000001</c:v>
                </c:pt>
                <c:pt idx="10">
                  <c:v>6.2899999999999998E-2</c:v>
                </c:pt>
                <c:pt idx="11">
                  <c:v>0.12440000000000001</c:v>
                </c:pt>
                <c:pt idx="12">
                  <c:v>0.93359999999999999</c:v>
                </c:pt>
                <c:pt idx="13">
                  <c:v>0.3906</c:v>
                </c:pt>
                <c:pt idx="14">
                  <c:v>0.43519999999999998</c:v>
                </c:pt>
              </c:numCache>
            </c:numRef>
          </c:xVal>
          <c:yVal>
            <c:numRef>
              <c:f>'##BlattmasseHöheAs'!$C$4:$C$18</c:f>
              <c:numCache>
                <c:formatCode>General</c:formatCode>
                <c:ptCount val="15"/>
                <c:pt idx="0">
                  <c:v>4.8899999999999997</c:v>
                </c:pt>
                <c:pt idx="1">
                  <c:v>6.57</c:v>
                </c:pt>
                <c:pt idx="2">
                  <c:v>8.75</c:v>
                </c:pt>
                <c:pt idx="3">
                  <c:v>11</c:v>
                </c:pt>
                <c:pt idx="4">
                  <c:v>7.7</c:v>
                </c:pt>
                <c:pt idx="5">
                  <c:v>9.4</c:v>
                </c:pt>
                <c:pt idx="6">
                  <c:v>11</c:v>
                </c:pt>
                <c:pt idx="7">
                  <c:v>11.9</c:v>
                </c:pt>
                <c:pt idx="8">
                  <c:v>8.8000000000000007</c:v>
                </c:pt>
                <c:pt idx="9">
                  <c:v>5.4</c:v>
                </c:pt>
                <c:pt idx="10">
                  <c:v>3.6</c:v>
                </c:pt>
                <c:pt idx="11">
                  <c:v>4.4000000000000004</c:v>
                </c:pt>
                <c:pt idx="12">
                  <c:v>15.8</c:v>
                </c:pt>
                <c:pt idx="13">
                  <c:v>9.4</c:v>
                </c:pt>
                <c:pt idx="14">
                  <c:v>7.9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'##BlattmasseHöheAs'!$E$4:$E$18</c:f>
              <c:numCache>
                <c:formatCode>General</c:formatCode>
                <c:ptCount val="15"/>
                <c:pt idx="0">
                  <c:v>0.12485625577778552</c:v>
                </c:pt>
                <c:pt idx="1">
                  <c:v>0.2587274563238286</c:v>
                </c:pt>
                <c:pt idx="2">
                  <c:v>0.64873339513297246</c:v>
                </c:pt>
                <c:pt idx="3">
                  <c:v>1.558277376238524</c:v>
                </c:pt>
                <c:pt idx="4">
                  <c:v>0.38119999999999998</c:v>
                </c:pt>
                <c:pt idx="5">
                  <c:v>0.33169999999999999</c:v>
                </c:pt>
                <c:pt idx="6">
                  <c:v>0.60520000000000007</c:v>
                </c:pt>
                <c:pt idx="7">
                  <c:v>0.6018</c:v>
                </c:pt>
                <c:pt idx="8">
                  <c:v>0.3463</c:v>
                </c:pt>
                <c:pt idx="9">
                  <c:v>0.18240000000000001</c:v>
                </c:pt>
                <c:pt idx="10">
                  <c:v>6.2899999999999998E-2</c:v>
                </c:pt>
                <c:pt idx="11">
                  <c:v>0.12440000000000001</c:v>
                </c:pt>
                <c:pt idx="12">
                  <c:v>0.93359999999999999</c:v>
                </c:pt>
                <c:pt idx="13">
                  <c:v>0.3906</c:v>
                </c:pt>
                <c:pt idx="14">
                  <c:v>0.43519999999999998</c:v>
                </c:pt>
              </c:numCache>
            </c:numRef>
          </c:xVal>
          <c:yVal>
            <c:numRef>
              <c:f>'##BlattmasseHöheAs'!$I$4:$I$18</c:f>
              <c:numCache>
                <c:formatCode>General</c:formatCode>
                <c:ptCount val="15"/>
                <c:pt idx="0">
                  <c:v>4.6018249485231415</c:v>
                </c:pt>
                <c:pt idx="1">
                  <c:v>7.336201142133862</c:v>
                </c:pt>
                <c:pt idx="2">
                  <c:v>10.808298800487195</c:v>
                </c:pt>
                <c:pt idx="3">
                  <c:v>13.114460081641271</c:v>
                </c:pt>
                <c:pt idx="4">
                  <c:v>8.8742276384228358</c:v>
                </c:pt>
                <c:pt idx="5">
                  <c:v>8.3272454082617759</c:v>
                </c:pt>
                <c:pt idx="6">
                  <c:v>10.574812120869536</c:v>
                </c:pt>
                <c:pt idx="7">
                  <c:v>10.555581471866081</c:v>
                </c:pt>
                <c:pt idx="8">
                  <c:v>8.4976623442761685</c:v>
                </c:pt>
                <c:pt idx="9">
                  <c:v>5.966603995315876</c:v>
                </c:pt>
                <c:pt idx="10">
                  <c:v>2.6559384503810359</c:v>
                </c:pt>
                <c:pt idx="11">
                  <c:v>4.5895202836901392</c:v>
                </c:pt>
                <c:pt idx="12">
                  <c:v>11.913672156111557</c:v>
                </c:pt>
                <c:pt idx="13">
                  <c:v>8.9688716293283068</c:v>
                </c:pt>
                <c:pt idx="14">
                  <c:v>9.3835443423725344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FF00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'##BlattmasseHöheAs'!$K$4:$K$24</c:f>
              <c:numCache>
                <c:formatCode>General</c:formatCode>
                <c:ptCount val="21"/>
                <c:pt idx="0">
                  <c:v>0.01</c:v>
                </c:pt>
                <c:pt idx="1">
                  <c:v>0.05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'##BlattmasseHöheAs'!$L$4:$L$24</c:f>
              <c:numCache>
                <c:formatCode>General</c:formatCode>
                <c:ptCount val="21"/>
                <c:pt idx="0">
                  <c:v>1.5650496995437519</c:v>
                </c:pt>
                <c:pt idx="1">
                  <c:v>2.9459818718759228</c:v>
                </c:pt>
                <c:pt idx="2">
                  <c:v>5.0412018975817503</c:v>
                </c:pt>
                <c:pt idx="3">
                  <c:v>5.8870467085636609</c:v>
                </c:pt>
                <c:pt idx="4">
                  <c:v>6.5672822078767199</c:v>
                </c:pt>
                <c:pt idx="5">
                  <c:v>7.1453686849668365</c:v>
                </c:pt>
                <c:pt idx="6">
                  <c:v>7.6528472296228047</c:v>
                </c:pt>
                <c:pt idx="7">
                  <c:v>8.108004405974512</c:v>
                </c:pt>
                <c:pt idx="8">
                  <c:v>8.5225185150167153</c:v>
                </c:pt>
                <c:pt idx="9">
                  <c:v>8.9043636319759329</c:v>
                </c:pt>
                <c:pt idx="10">
                  <c:v>9.2592592592592595</c:v>
                </c:pt>
                <c:pt idx="11">
                  <c:v>9.5914658728674755</c:v>
                </c:pt>
                <c:pt idx="12">
                  <c:v>9.9042537489518203</c:v>
                </c:pt>
                <c:pt idx="13">
                  <c:v>10.20019508432884</c:v>
                </c:pt>
                <c:pt idx="14">
                  <c:v>10.481354366979682</c:v>
                </c:pt>
                <c:pt idx="15">
                  <c:v>10.749417108036383</c:v>
                </c:pt>
                <c:pt idx="16">
                  <c:v>11.005779632693089</c:v>
                </c:pt>
                <c:pt idx="17">
                  <c:v>11.251613383717867</c:v>
                </c:pt>
                <c:pt idx="18">
                  <c:v>11.487912031258197</c:v>
                </c:pt>
                <c:pt idx="19">
                  <c:v>11.715526676649581</c:v>
                </c:pt>
                <c:pt idx="20">
                  <c:v>11.935192621296972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44640"/>
        <c:axId val="233745216"/>
      </c:scatterChart>
      <c:valAx>
        <c:axId val="23374464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foliage mass</a:t>
                </a:r>
              </a:p>
            </c:rich>
          </c:tx>
          <c:layout>
            <c:manualLayout>
              <c:xMode val="edge"/>
              <c:yMode val="edge"/>
              <c:x val="0.42171189979123175"/>
              <c:y val="0.876669520408595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5216"/>
        <c:crosses val="autoZero"/>
        <c:crossBetween val="midCat"/>
      </c:valAx>
      <c:valAx>
        <c:axId val="23374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height [m]</a:t>
                </a:r>
              </a:p>
            </c:rich>
          </c:tx>
          <c:layout>
            <c:manualLayout>
              <c:xMode val="edge"/>
              <c:yMode val="edge"/>
              <c:x val="3.1315240083507306E-2"/>
              <c:y val="0.30666766493380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464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17218244763507"/>
          <c:y val="6.9767555037172704E-2"/>
          <c:w val="0.75471852626794722"/>
          <c:h val="0.7043200794228863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2"/>
            <c:dispRSqr val="1"/>
            <c:dispEq val="1"/>
            <c:trendlineLbl>
              <c:layout>
                <c:manualLayout>
                  <c:xMode val="edge"/>
                  <c:yMode val="edge"/>
                  <c:x val="0.37106994208174071"/>
                  <c:y val="8.305661313949130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'##BlattmasseHöheAs'!$D$4:$D$18</c:f>
              <c:numCache>
                <c:formatCode>General</c:formatCode>
                <c:ptCount val="15"/>
                <c:pt idx="0">
                  <c:v>2.88</c:v>
                </c:pt>
                <c:pt idx="1">
                  <c:v>3.99</c:v>
                </c:pt>
                <c:pt idx="2">
                  <c:v>6.02</c:v>
                </c:pt>
                <c:pt idx="3">
                  <c:v>8.91</c:v>
                </c:pt>
                <c:pt idx="4">
                  <c:v>4.8</c:v>
                </c:pt>
                <c:pt idx="5">
                  <c:v>6.8</c:v>
                </c:pt>
                <c:pt idx="6">
                  <c:v>8.3000000000000007</c:v>
                </c:pt>
                <c:pt idx="7">
                  <c:v>8</c:v>
                </c:pt>
                <c:pt idx="8">
                  <c:v>5.6</c:v>
                </c:pt>
                <c:pt idx="9">
                  <c:v>3.8</c:v>
                </c:pt>
                <c:pt idx="10">
                  <c:v>2</c:v>
                </c:pt>
                <c:pt idx="11">
                  <c:v>3</c:v>
                </c:pt>
                <c:pt idx="12">
                  <c:v>10.8</c:v>
                </c:pt>
                <c:pt idx="13">
                  <c:v>6.1</c:v>
                </c:pt>
                <c:pt idx="14">
                  <c:v>6.2</c:v>
                </c:pt>
              </c:numCache>
            </c:numRef>
          </c:xVal>
          <c:yVal>
            <c:numRef>
              <c:f>'##BlattmasseHöheAs'!$C$4:$C$18</c:f>
              <c:numCache>
                <c:formatCode>General</c:formatCode>
                <c:ptCount val="15"/>
                <c:pt idx="0">
                  <c:v>4.8899999999999997</c:v>
                </c:pt>
                <c:pt idx="1">
                  <c:v>6.57</c:v>
                </c:pt>
                <c:pt idx="2">
                  <c:v>8.75</c:v>
                </c:pt>
                <c:pt idx="3">
                  <c:v>11</c:v>
                </c:pt>
                <c:pt idx="4">
                  <c:v>7.7</c:v>
                </c:pt>
                <c:pt idx="5">
                  <c:v>9.4</c:v>
                </c:pt>
                <c:pt idx="6">
                  <c:v>11</c:v>
                </c:pt>
                <c:pt idx="7">
                  <c:v>11.9</c:v>
                </c:pt>
                <c:pt idx="8">
                  <c:v>8.8000000000000007</c:v>
                </c:pt>
                <c:pt idx="9">
                  <c:v>5.4</c:v>
                </c:pt>
                <c:pt idx="10">
                  <c:v>3.6</c:v>
                </c:pt>
                <c:pt idx="11">
                  <c:v>4.4000000000000004</c:v>
                </c:pt>
                <c:pt idx="12">
                  <c:v>15.8</c:v>
                </c:pt>
                <c:pt idx="13">
                  <c:v>9.4</c:v>
                </c:pt>
                <c:pt idx="14">
                  <c:v>7.9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46944"/>
        <c:axId val="233747520"/>
      </c:scatterChart>
      <c:valAx>
        <c:axId val="23374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diameter</a:t>
                </a:r>
              </a:p>
            </c:rich>
          </c:tx>
          <c:layout>
            <c:manualLayout>
              <c:xMode val="edge"/>
              <c:yMode val="edge"/>
              <c:x val="0.44863823505927974"/>
              <c:y val="0.87707783475302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7520"/>
        <c:crosses val="autoZero"/>
        <c:crossBetween val="midCat"/>
      </c:valAx>
      <c:valAx>
        <c:axId val="23374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height [m]</a:t>
                </a:r>
              </a:p>
            </c:rich>
          </c:tx>
          <c:layout>
            <c:manualLayout>
              <c:xMode val="edge"/>
              <c:yMode val="edge"/>
              <c:x val="3.1446605261164468E-2"/>
              <c:y val="0.308970600878907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4694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15804189765821"/>
          <c:y val="7.0000227865325088E-2"/>
          <c:w val="0.74105339335258358"/>
          <c:h val="0.70333562283731388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32210559426973095"/>
                  <c:y val="9.0000292969703674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'##leafmass_sapwood'!$B$3:$B$17</c:f>
              <c:numCache>
                <c:formatCode>General</c:formatCode>
                <c:ptCount val="15"/>
                <c:pt idx="0">
                  <c:v>0.78539816339744828</c:v>
                </c:pt>
                <c:pt idx="1">
                  <c:v>3.1415926535897931</c:v>
                </c:pt>
                <c:pt idx="2">
                  <c:v>7.0685834705770345</c:v>
                </c:pt>
                <c:pt idx="3">
                  <c:v>12.566370614359172</c:v>
                </c:pt>
                <c:pt idx="4">
                  <c:v>19.634954084936208</c:v>
                </c:pt>
                <c:pt idx="5">
                  <c:v>28.274333882308138</c:v>
                </c:pt>
                <c:pt idx="6">
                  <c:v>38.484510006474963</c:v>
                </c:pt>
                <c:pt idx="7">
                  <c:v>50.26548245743669</c:v>
                </c:pt>
                <c:pt idx="8">
                  <c:v>63.617251235193308</c:v>
                </c:pt>
                <c:pt idx="9">
                  <c:v>78.539816339744831</c:v>
                </c:pt>
                <c:pt idx="10">
                  <c:v>95.033177771091246</c:v>
                </c:pt>
                <c:pt idx="11">
                  <c:v>113.09733552923255</c:v>
                </c:pt>
                <c:pt idx="12">
                  <c:v>132.73228961416876</c:v>
                </c:pt>
                <c:pt idx="13">
                  <c:v>153.93804002589985</c:v>
                </c:pt>
                <c:pt idx="14">
                  <c:v>176.71458676442586</c:v>
                </c:pt>
              </c:numCache>
            </c:numRef>
          </c:xVal>
          <c:yVal>
            <c:numRef>
              <c:f>'##leafmass_sapwood'!$D$3:$D$17</c:f>
              <c:numCache>
                <c:formatCode>General</c:formatCode>
                <c:ptCount val="15"/>
                <c:pt idx="0">
                  <c:v>1.5607557919982831E-2</c:v>
                </c:pt>
                <c:pt idx="1">
                  <c:v>6.3301725237354153E-2</c:v>
                </c:pt>
                <c:pt idx="2">
                  <c:v>0.14358857642498721</c:v>
                </c:pt>
                <c:pt idx="3">
                  <c:v>0.25674153756591594</c:v>
                </c:pt>
                <c:pt idx="4">
                  <c:v>0.40295297270548414</c:v>
                </c:pt>
                <c:pt idx="5">
                  <c:v>0.58237199302268317</c:v>
                </c:pt>
                <c:pt idx="6">
                  <c:v>0.79512058315244871</c:v>
                </c:pt>
                <c:pt idx="7">
                  <c:v>1.0413020634833128</c:v>
                </c:pt>
                <c:pt idx="8">
                  <c:v>1.3210061039310288</c:v>
                </c:pt>
                <c:pt idx="9">
                  <c:v>1.6343119463371942</c:v>
                </c:pt>
                <c:pt idx="10">
                  <c:v>1.9812906010018407</c:v>
                </c:pt>
                <c:pt idx="11">
                  <c:v>2.3620064123582507</c:v>
                </c:pt>
                <c:pt idx="12">
                  <c:v>2.7765182149347702</c:v>
                </c:pt>
                <c:pt idx="13">
                  <c:v>3.2248802114544035</c:v>
                </c:pt>
                <c:pt idx="14">
                  <c:v>3.7071426557333473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917376"/>
        <c:axId val="252917952"/>
      </c:scatterChart>
      <c:valAx>
        <c:axId val="2529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9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cross sectional area at crown base [cm</a:t>
                </a:r>
                <a:r>
                  <a:rPr lang="de-DE" sz="95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de-DE" sz="9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24210551203280431"/>
              <c:y val="0.876669520408595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7952"/>
        <c:crosses val="autoZero"/>
        <c:crossBetween val="midCat"/>
      </c:valAx>
      <c:valAx>
        <c:axId val="252917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whole tree leaf dry mass [kg]</a:t>
                </a:r>
              </a:p>
            </c:rich>
          </c:tx>
          <c:layout>
            <c:manualLayout>
              <c:xMode val="edge"/>
              <c:yMode val="edge"/>
              <c:x val="3.1578979830365776E-2"/>
              <c:y val="0.11000035807408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91737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Zersetzungskurve M.-L.</a:t>
            </a:r>
          </a:p>
        </c:rich>
      </c:tx>
      <c:layout>
        <c:manualLayout>
          <c:xMode val="edge"/>
          <c:yMode val="edge"/>
          <c:x val="0.33513572483059689"/>
          <c:y val="3.44828553869639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3245430823182"/>
          <c:y val="0.19827641847504288"/>
          <c:w val="0.65946061982794879"/>
          <c:h val="0.6034499692718695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Stetter!$A$8:$A$11</c:f>
              <c:numCache>
                <c:formatCode>mmm\-yy</c:formatCode>
                <c:ptCount val="4"/>
                <c:pt idx="0">
                  <c:v>34304</c:v>
                </c:pt>
                <c:pt idx="1">
                  <c:v>34394</c:v>
                </c:pt>
                <c:pt idx="2">
                  <c:v>34486</c:v>
                </c:pt>
                <c:pt idx="3">
                  <c:v>34700</c:v>
                </c:pt>
              </c:numCache>
            </c:numRef>
          </c:xVal>
          <c:yVal>
            <c:numRef>
              <c:f>Stetter!$B$8:$B$11</c:f>
              <c:numCache>
                <c:formatCode>General</c:formatCode>
                <c:ptCount val="4"/>
                <c:pt idx="0">
                  <c:v>2.25</c:v>
                </c:pt>
                <c:pt idx="1">
                  <c:v>1.1000000000000001</c:v>
                </c:pt>
                <c:pt idx="2">
                  <c:v>0.2</c:v>
                </c:pt>
                <c:pt idx="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52416"/>
        <c:axId val="253852992"/>
      </c:scatterChart>
      <c:valAx>
        <c:axId val="2538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Zeit</a:t>
                </a:r>
              </a:p>
            </c:rich>
          </c:tx>
          <c:layout>
            <c:manualLayout>
              <c:xMode val="edge"/>
              <c:yMode val="edge"/>
              <c:x val="0.43063138835759496"/>
              <c:y val="0.89080709749656939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52992"/>
        <c:crosses val="autoZero"/>
        <c:crossBetween val="midCat"/>
      </c:valAx>
      <c:valAx>
        <c:axId val="25385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/ ha</a:t>
                </a:r>
              </a:p>
            </c:rich>
          </c:tx>
          <c:layout>
            <c:manualLayout>
              <c:xMode val="edge"/>
              <c:yMode val="edge"/>
              <c:x val="2.8828879555320163E-2"/>
              <c:y val="0.448277120030531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524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24472699311481"/>
          <c:y val="0.46839211900626065"/>
          <c:w val="0.14234259280439332"/>
          <c:h val="6.32185682094339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Litter decomposition Aspen / Ottawa (Duchesne 1999)</a:t>
            </a:r>
          </a:p>
        </c:rich>
      </c:tx>
      <c:layout>
        <c:manualLayout>
          <c:xMode val="edge"/>
          <c:yMode val="edge"/>
          <c:x val="0.12627291242362526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3951120162932"/>
          <c:y val="0.30313588850174217"/>
          <c:w val="0.48065173116089616"/>
          <c:h val="0.456445993031358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intercept val="100"/>
            <c:dispRSqr val="1"/>
            <c:dispEq val="1"/>
            <c:trendlineLbl>
              <c:layout>
                <c:manualLayout>
                  <c:xMode val="edge"/>
                  <c:yMode val="edge"/>
                  <c:x val="0.67413441955193487"/>
                  <c:y val="0.644599303135888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Duchesne!$A$6:$A$9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xVal>
          <c:yVal>
            <c:numRef>
              <c:f>Duchesne!$B$6:$B$9</c:f>
              <c:numCache>
                <c:formatCode>General</c:formatCode>
                <c:ptCount val="4"/>
                <c:pt idx="0">
                  <c:v>100</c:v>
                </c:pt>
                <c:pt idx="2">
                  <c:v>76.5</c:v>
                </c:pt>
                <c:pt idx="3">
                  <c:v>58.37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09568"/>
        <c:axId val="233710144"/>
      </c:scatterChart>
      <c:valAx>
        <c:axId val="2337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 (Yrs)</a:t>
                </a:r>
              </a:p>
            </c:rich>
          </c:tx>
          <c:layout>
            <c:manualLayout>
              <c:xMode val="edge"/>
              <c:yMode val="edge"/>
              <c:x val="0.32382892057026474"/>
              <c:y val="0.867595818815330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0144"/>
        <c:crosses val="autoZero"/>
        <c:crossBetween val="midCat"/>
      </c:valAx>
      <c:valAx>
        <c:axId val="2337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percent origiinal weight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257839721254355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095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87780040733202"/>
          <c:y val="0.45644599303135891"/>
          <c:w val="0.32382892057026474"/>
          <c:h val="0.149825783972125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Root:Shoot-ratio</a:t>
            </a:r>
          </a:p>
        </c:rich>
      </c:tx>
      <c:layout>
        <c:manualLayout>
          <c:xMode val="edge"/>
          <c:yMode val="edge"/>
          <c:x val="0.36456211812627293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45621181262729"/>
          <c:y val="0.22299651567944251"/>
          <c:w val="0.55193482688391038"/>
          <c:h val="0.5435540069686410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5356415478615069"/>
                  <c:y val="0.4738675958188153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'Ruark + B.'!$A$42:$A$46</c:f>
              <c:numCache>
                <c:formatCode>General</c:formatCode>
                <c:ptCount val="5"/>
                <c:pt idx="0">
                  <c:v>8</c:v>
                </c:pt>
                <c:pt idx="1">
                  <c:v>14</c:v>
                </c:pt>
                <c:pt idx="2">
                  <c:v>18</c:v>
                </c:pt>
                <c:pt idx="3">
                  <c:v>32</c:v>
                </c:pt>
                <c:pt idx="4">
                  <c:v>63</c:v>
                </c:pt>
              </c:numCache>
            </c:numRef>
          </c:xVal>
          <c:yVal>
            <c:numRef>
              <c:f>'Ruark + B.'!$F$42:$F$46</c:f>
              <c:numCache>
                <c:formatCode>General</c:formatCode>
                <c:ptCount val="5"/>
                <c:pt idx="0">
                  <c:v>0.57999999999999996</c:v>
                </c:pt>
                <c:pt idx="1">
                  <c:v>0.38</c:v>
                </c:pt>
                <c:pt idx="2">
                  <c:v>0.34</c:v>
                </c:pt>
                <c:pt idx="3">
                  <c:v>0.21</c:v>
                </c:pt>
                <c:pt idx="4">
                  <c:v>0.18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45504"/>
        <c:axId val="253846080"/>
      </c:scatterChart>
      <c:valAx>
        <c:axId val="25384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age (yrs)</a:t>
                </a:r>
              </a:p>
            </c:rich>
          </c:tx>
          <c:layout>
            <c:manualLayout>
              <c:xMode val="edge"/>
              <c:yMode val="edge"/>
              <c:x val="0.35234215885947046"/>
              <c:y val="0.87456445993031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46080"/>
        <c:crosses val="autoZero"/>
        <c:crossBetween val="midCat"/>
      </c:valAx>
      <c:valAx>
        <c:axId val="253846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ratio</a:t>
                </a:r>
              </a:p>
            </c:rich>
          </c:tx>
          <c:layout>
            <c:manualLayout>
              <c:xMode val="edge"/>
              <c:yMode val="edge"/>
              <c:x val="2.8513238289205704E-2"/>
              <c:y val="0.439024390243902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455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653767820773926"/>
          <c:y val="7.3170731707317069E-2"/>
          <c:w val="0.29531568228105909"/>
          <c:h val="0.149825783972125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Crown width (Beetle 1974)</a:t>
            </a:r>
          </a:p>
        </c:rich>
      </c:tx>
      <c:layout>
        <c:manualLayout>
          <c:xMode val="edge"/>
          <c:yMode val="edge"/>
          <c:x val="7.7393075356415472E-2"/>
          <c:y val="4.52961672473867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05295315682282"/>
          <c:y val="0.22299651567944251"/>
          <c:w val="0.57433808553971488"/>
          <c:h val="0.5435540069686410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5763747454175157"/>
                  <c:y val="0.5470383275261323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4541751527494904"/>
                  <c:y val="0.707317073170731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og"/>
            <c:dispRSqr val="1"/>
            <c:dispEq val="1"/>
            <c:trendlineLbl>
              <c:layout>
                <c:manualLayout>
                  <c:xMode val="edge"/>
                  <c:yMode val="edge"/>
                  <c:x val="0.69450101832993894"/>
                  <c:y val="0.8397212543554006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[1]Kronenbr.!$D$4:$D$9</c:f>
              <c:numCache>
                <c:formatCode>General</c:formatCode>
                <c:ptCount val="6"/>
                <c:pt idx="0">
                  <c:v>5.08</c:v>
                </c:pt>
                <c:pt idx="1">
                  <c:v>12.7</c:v>
                </c:pt>
                <c:pt idx="2">
                  <c:v>17.78</c:v>
                </c:pt>
                <c:pt idx="3">
                  <c:v>30.48</c:v>
                </c:pt>
                <c:pt idx="4">
                  <c:v>33.020000000000003</c:v>
                </c:pt>
                <c:pt idx="5">
                  <c:v>45.72</c:v>
                </c:pt>
              </c:numCache>
            </c:numRef>
          </c:xVal>
          <c:yVal>
            <c:numRef>
              <c:f>[1]Kronenbr.!$E$4:$E$9</c:f>
              <c:numCache>
                <c:formatCode>General</c:formatCode>
                <c:ptCount val="6"/>
                <c:pt idx="0">
                  <c:v>1.524</c:v>
                </c:pt>
                <c:pt idx="1">
                  <c:v>2.1335999999999999</c:v>
                </c:pt>
                <c:pt idx="2">
                  <c:v>2.7431999999999999</c:v>
                </c:pt>
                <c:pt idx="3">
                  <c:v>3.6576</c:v>
                </c:pt>
                <c:pt idx="4">
                  <c:v>3.9624000000000001</c:v>
                </c:pt>
                <c:pt idx="5">
                  <c:v>4.2671999999999999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11872"/>
        <c:axId val="233712448"/>
      </c:scatterChart>
      <c:valAx>
        <c:axId val="23371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 (cm)</a:t>
                </a:r>
              </a:p>
            </c:rich>
          </c:tx>
          <c:layout>
            <c:manualLayout>
              <c:xMode val="edge"/>
              <c:yMode val="edge"/>
              <c:x val="0.34215885947046842"/>
              <c:y val="0.87456445993031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2448"/>
        <c:crosses val="autoZero"/>
        <c:crossBetween val="midCat"/>
      </c:valAx>
      <c:valAx>
        <c:axId val="23371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crown width (m)</a:t>
                </a:r>
              </a:p>
            </c:rich>
          </c:tx>
          <c:layout>
            <c:manualLayout>
              <c:xMode val="edge"/>
              <c:yMode val="edge"/>
              <c:x val="2.8513238289205704E-2"/>
              <c:y val="0.31010452961672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18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820773930753564"/>
          <c:y val="1.7421602787456445E-2"/>
          <c:w val="0.29531568228105909"/>
          <c:h val="0.5191637630662020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Vergleich Kronenbreiten</a:t>
            </a:r>
          </a:p>
        </c:rich>
      </c:tx>
      <c:layout>
        <c:manualLayout>
          <c:xMode val="edge"/>
          <c:yMode val="edge"/>
          <c:x val="0.1195654289186851"/>
          <c:y val="4.228865994407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62341595797944"/>
          <c:y val="0.17412977624032241"/>
          <c:w val="0.51087046901620004"/>
          <c:h val="0.6368174673931791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[1]Kronenbr.!$B$35</c:f>
              <c:strCache>
                <c:ptCount val="1"/>
                <c:pt idx="0">
                  <c:v>CW_Bech_03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9384180720994537"/>
                  <c:y val="0.492538509936911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[1]Kronenbr.!$A$36:$A$55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[1]Kronenbr.!$B$36:$B$55</c:f>
              <c:numCache>
                <c:formatCode>General</c:formatCode>
                <c:ptCount val="20"/>
                <c:pt idx="4">
                  <c:v>3.3310764000000006</c:v>
                </c:pt>
                <c:pt idx="5">
                  <c:v>3.7150164000000001</c:v>
                </c:pt>
                <c:pt idx="6">
                  <c:v>4.0989564000000005</c:v>
                </c:pt>
                <c:pt idx="7">
                  <c:v>4.4828964000000004</c:v>
                </c:pt>
                <c:pt idx="8">
                  <c:v>4.8668364000000004</c:v>
                </c:pt>
                <c:pt idx="9">
                  <c:v>5.2507764000000003</c:v>
                </c:pt>
                <c:pt idx="10">
                  <c:v>5.6347164000000003</c:v>
                </c:pt>
                <c:pt idx="11">
                  <c:v>6.0186564000000011</c:v>
                </c:pt>
                <c:pt idx="12">
                  <c:v>6.4025964000000011</c:v>
                </c:pt>
                <c:pt idx="13">
                  <c:v>6.786536400000001</c:v>
                </c:pt>
                <c:pt idx="14">
                  <c:v>7.1704764000000001</c:v>
                </c:pt>
                <c:pt idx="15">
                  <c:v>7.5544164</c:v>
                </c:pt>
                <c:pt idx="16">
                  <c:v>7.9383564</c:v>
                </c:pt>
                <c:pt idx="17">
                  <c:v>8.322296399999999</c:v>
                </c:pt>
                <c:pt idx="18">
                  <c:v>8.7062364000000017</c:v>
                </c:pt>
                <c:pt idx="19">
                  <c:v>9.0901764000000007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[1]Kronenbr.!$C$35</c:f>
              <c:strCache>
                <c:ptCount val="1"/>
                <c:pt idx="0">
                  <c:v>CW_Bech_04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9021861239422766"/>
                  <c:y val="0.6019915121451145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[1]Kronenbr.!$A$36:$A$55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[1]Kronenbr.!$C$36:$C$55</c:f>
              <c:numCache>
                <c:formatCode>General</c:formatCode>
                <c:ptCount val="20"/>
                <c:pt idx="4">
                  <c:v>2.5820472000000003</c:v>
                </c:pt>
                <c:pt idx="5">
                  <c:v>2.9429172000000006</c:v>
                </c:pt>
                <c:pt idx="6">
                  <c:v>3.3037872000000004</c:v>
                </c:pt>
                <c:pt idx="7">
                  <c:v>3.6646572000000011</c:v>
                </c:pt>
                <c:pt idx="8">
                  <c:v>4.0255272</c:v>
                </c:pt>
                <c:pt idx="9">
                  <c:v>4.3863972000000011</c:v>
                </c:pt>
                <c:pt idx="10">
                  <c:v>4.7472672000000005</c:v>
                </c:pt>
                <c:pt idx="11">
                  <c:v>5.1081372000000007</c:v>
                </c:pt>
                <c:pt idx="12">
                  <c:v>5.469007200000001</c:v>
                </c:pt>
                <c:pt idx="13">
                  <c:v>5.8298772000000003</c:v>
                </c:pt>
                <c:pt idx="14">
                  <c:v>6.1907472000000006</c:v>
                </c:pt>
                <c:pt idx="15">
                  <c:v>6.5516172000000017</c:v>
                </c:pt>
                <c:pt idx="16">
                  <c:v>6.9124872000000011</c:v>
                </c:pt>
                <c:pt idx="17">
                  <c:v>7.2733572000000013</c:v>
                </c:pt>
                <c:pt idx="18">
                  <c:v>7.6342272000000007</c:v>
                </c:pt>
                <c:pt idx="19">
                  <c:v>7.9950972000000009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[1]Kronenbr.!$D$35</c:f>
              <c:strCache>
                <c:ptCount val="1"/>
                <c:pt idx="0">
                  <c:v>CW_Beetle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9927659943352194"/>
                  <c:y val="0.713932082585321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[1]Kronenbr.!$A$36:$A$55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[1]Kronenbr.!$D$36:$D$55</c:f>
              <c:numCache>
                <c:formatCode>General</c:formatCode>
                <c:ptCount val="20"/>
                <c:pt idx="1">
                  <c:v>1.524</c:v>
                </c:pt>
                <c:pt idx="4">
                  <c:v>2.1335999999999999</c:v>
                </c:pt>
                <c:pt idx="6">
                  <c:v>2.7431999999999999</c:v>
                </c:pt>
                <c:pt idx="11">
                  <c:v>3.6576</c:v>
                </c:pt>
                <c:pt idx="12">
                  <c:v>3.9624000000000001</c:v>
                </c:pt>
                <c:pt idx="17">
                  <c:v>4.2671999999999999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[1]Kronenbr.!$E$35</c:f>
              <c:strCache>
                <c:ptCount val="1"/>
                <c:pt idx="0">
                  <c:v>CW_Raetzel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7010881968413808"/>
                  <c:y val="0.8557234718095844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[1]Kronenbr.!$A$36:$A$55</c:f>
              <c:numCache>
                <c:formatCode>General</c:formatCode>
                <c:ptCount val="2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</c:numCache>
            </c:numRef>
          </c:xVal>
          <c:yVal>
            <c:numRef>
              <c:f>[1]Kronenbr.!$E$36:$E$55</c:f>
              <c:numCache>
                <c:formatCode>General</c:formatCode>
                <c:ptCount val="20"/>
                <c:pt idx="0">
                  <c:v>0.69763375000000005</c:v>
                </c:pt>
                <c:pt idx="1">
                  <c:v>1.3952675000000001</c:v>
                </c:pt>
                <c:pt idx="2">
                  <c:v>2.0929012500000002</c:v>
                </c:pt>
                <c:pt idx="3">
                  <c:v>2.7905350000000002</c:v>
                </c:pt>
                <c:pt idx="4">
                  <c:v>3.4881687500000003</c:v>
                </c:pt>
                <c:pt idx="5">
                  <c:v>4.1858025000000003</c:v>
                </c:pt>
                <c:pt idx="6">
                  <c:v>4.8834362499999999</c:v>
                </c:pt>
                <c:pt idx="7">
                  <c:v>5.5810700000000004</c:v>
                </c:pt>
                <c:pt idx="8">
                  <c:v>6.27870375</c:v>
                </c:pt>
                <c:pt idx="9">
                  <c:v>6.9763375000000005</c:v>
                </c:pt>
                <c:pt idx="10">
                  <c:v>7.6739712500000001</c:v>
                </c:pt>
                <c:pt idx="11">
                  <c:v>8.3716050000000006</c:v>
                </c:pt>
                <c:pt idx="12">
                  <c:v>9.0692387500000002</c:v>
                </c:pt>
                <c:pt idx="13">
                  <c:v>9.7668724999999998</c:v>
                </c:pt>
                <c:pt idx="14">
                  <c:v>10.464506250000001</c:v>
                </c:pt>
                <c:pt idx="15">
                  <c:v>11.162140000000001</c:v>
                </c:pt>
                <c:pt idx="16">
                  <c:v>11.85977375</c:v>
                </c:pt>
                <c:pt idx="17">
                  <c:v>12.5574075</c:v>
                </c:pt>
                <c:pt idx="18">
                  <c:v>13.25504125</c:v>
                </c:pt>
                <c:pt idx="19">
                  <c:v>13.952675000000001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714752"/>
        <c:axId val="233715328"/>
      </c:scatterChart>
      <c:valAx>
        <c:axId val="2337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BHD (cm)</a:t>
                </a:r>
              </a:p>
            </c:rich>
          </c:tx>
          <c:layout>
            <c:manualLayout>
              <c:xMode val="edge"/>
              <c:yMode val="edge"/>
              <c:x val="0.32789913082245459"/>
              <c:y val="0.888061858825644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5328"/>
        <c:crosses val="autoZero"/>
        <c:crossBetween val="midCat"/>
      </c:valAx>
      <c:valAx>
        <c:axId val="2337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Kronenbreite (m)</a:t>
                </a:r>
              </a:p>
            </c:rich>
          </c:tx>
          <c:layout>
            <c:manualLayout>
              <c:xMode val="edge"/>
              <c:yMode val="edge"/>
              <c:x val="3.9855142972895038E-2"/>
              <c:y val="0.355722257176658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14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23305386848585"/>
          <c:y val="4.7263796408087512E-2"/>
          <c:w val="0.33152232563817235"/>
          <c:h val="0.430349304136796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54786150712830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20905923344947736"/>
          <c:w val="0.54378818737270873"/>
          <c:h val="0.550522648083623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Sämlinge!$C$5</c:f>
              <c:strCache>
                <c:ptCount val="1"/>
                <c:pt idx="0">
                  <c:v>foliage biomass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372708757637475"/>
                  <c:y val="0.714285714285714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Sämlinge!$B$6:$B$12</c:f>
              <c:numCache>
                <c:formatCode>General</c:formatCode>
                <c:ptCount val="7"/>
                <c:pt idx="0">
                  <c:v>2.159000000000002</c:v>
                </c:pt>
                <c:pt idx="1">
                  <c:v>11.088000000000006</c:v>
                </c:pt>
                <c:pt idx="2">
                  <c:v>15.387</c:v>
                </c:pt>
                <c:pt idx="3">
                  <c:v>15.806000000000012</c:v>
                </c:pt>
                <c:pt idx="4">
                  <c:v>13.094999999999999</c:v>
                </c:pt>
                <c:pt idx="5">
                  <c:v>8.0039999999999907</c:v>
                </c:pt>
                <c:pt idx="6">
                  <c:v>1.2830000000000013</c:v>
                </c:pt>
              </c:numCache>
            </c:numRef>
          </c:xVal>
          <c:yVal>
            <c:numRef>
              <c:f>Sämlinge!$C$6:$C$12</c:f>
              <c:numCache>
                <c:formatCode>General</c:formatCode>
                <c:ptCount val="7"/>
                <c:pt idx="0">
                  <c:v>0.95799999999999985</c:v>
                </c:pt>
                <c:pt idx="1">
                  <c:v>4.0609999999999999</c:v>
                </c:pt>
                <c:pt idx="2">
                  <c:v>6.1689999999999996</c:v>
                </c:pt>
                <c:pt idx="3">
                  <c:v>7.1319999999999997</c:v>
                </c:pt>
                <c:pt idx="4">
                  <c:v>6.7999999999999972</c:v>
                </c:pt>
                <c:pt idx="5">
                  <c:v>5.0229999999999997</c:v>
                </c:pt>
                <c:pt idx="6">
                  <c:v>1.6510000000000016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47808"/>
        <c:axId val="253848384"/>
      </c:scatterChart>
      <c:valAx>
        <c:axId val="25384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shoot biomass</a:t>
                </a:r>
              </a:p>
            </c:rich>
          </c:tx>
          <c:layout>
            <c:manualLayout>
              <c:xMode val="edge"/>
              <c:yMode val="edge"/>
              <c:x val="0.29327902240325865"/>
              <c:y val="0.867595818815330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48384"/>
        <c:crosses val="autoZero"/>
        <c:crossBetween val="midCat"/>
      </c:valAx>
      <c:valAx>
        <c:axId val="253848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foliage biomass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03135888501742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478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264765784114058"/>
          <c:y val="0.35540069686411152"/>
          <c:w val="0.28105906313645623"/>
          <c:h val="0.261324041811846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54786150712830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20905923344947736"/>
          <c:w val="0.52138492871690423"/>
          <c:h val="0.550522648083623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Sämlinge!$B$35</c:f>
              <c:strCache>
                <c:ptCount val="1"/>
                <c:pt idx="0">
                  <c:v>foliage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4338085539714871"/>
                  <c:y val="0.6202090592334494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Sämlinge!$A$36:$A$44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Sämlinge!$B$36:$B$44</c:f>
              <c:numCache>
                <c:formatCode>General</c:formatCode>
                <c:ptCount val="9"/>
                <c:pt idx="0">
                  <c:v>1.68</c:v>
                </c:pt>
                <c:pt idx="1">
                  <c:v>3.36</c:v>
                </c:pt>
                <c:pt idx="2">
                  <c:v>5.04</c:v>
                </c:pt>
                <c:pt idx="3">
                  <c:v>6.72</c:v>
                </c:pt>
                <c:pt idx="4">
                  <c:v>8.4</c:v>
                </c:pt>
                <c:pt idx="5">
                  <c:v>10.08</c:v>
                </c:pt>
                <c:pt idx="6">
                  <c:v>11.76</c:v>
                </c:pt>
                <c:pt idx="7">
                  <c:v>13.44</c:v>
                </c:pt>
                <c:pt idx="8">
                  <c:v>15.12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50112"/>
        <c:axId val="253850688"/>
      </c:scatterChart>
      <c:valAx>
        <c:axId val="25385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stem dry weight (g)</a:t>
                </a:r>
              </a:p>
            </c:rich>
          </c:tx>
          <c:layout>
            <c:manualLayout>
              <c:xMode val="edge"/>
              <c:yMode val="edge"/>
              <c:x val="0.26680244399185338"/>
              <c:y val="0.867595818815330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50688"/>
        <c:crosses val="autoZero"/>
        <c:crossBetween val="midCat"/>
      </c:valAx>
      <c:valAx>
        <c:axId val="25385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foliage dry weight (g)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243902439024390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8501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450101832993894"/>
          <c:y val="0.41114982578397213"/>
          <c:w val="0.28920570264765783"/>
          <c:h val="0.149825783972125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271468748078"/>
          <c:y val="5.3032030423214499E-2"/>
          <c:w val="0.79239151705590627"/>
          <c:h val="0.76770177374558135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49161862907900156"/>
                  <c:y val="5.303203042321449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Pinno!$A$18:$A$29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Pinno!$D$18:$D$29</c:f>
              <c:numCache>
                <c:formatCode>General</c:formatCode>
                <c:ptCount val="12"/>
                <c:pt idx="0">
                  <c:v>42.825155746653941</c:v>
                </c:pt>
                <c:pt idx="1">
                  <c:v>53.772057906426625</c:v>
                </c:pt>
                <c:pt idx="2">
                  <c:v>64.429010615665419</c:v>
                </c:pt>
                <c:pt idx="3">
                  <c:v>74.694583766007412</c:v>
                </c:pt>
                <c:pt idx="4">
                  <c:v>84.590123193424532</c:v>
                </c:pt>
                <c:pt idx="5">
                  <c:v>94.155558454967021</c:v>
                </c:pt>
                <c:pt idx="6">
                  <c:v>103.42947129604975</c:v>
                </c:pt>
                <c:pt idx="7">
                  <c:v>112.4452775702479</c:v>
                </c:pt>
                <c:pt idx="8">
                  <c:v>121.23113292974023</c:v>
                </c:pt>
                <c:pt idx="9">
                  <c:v>129.81066535735707</c:v>
                </c:pt>
                <c:pt idx="10">
                  <c:v>138.20378586573176</c:v>
                </c:pt>
                <c:pt idx="11">
                  <c:v>146.4273927497949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80320"/>
        <c:axId val="253480896"/>
      </c:scatterChart>
      <c:valAx>
        <c:axId val="25348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</a:t>
                </a:r>
              </a:p>
            </c:rich>
          </c:tx>
          <c:layout>
            <c:manualLayout>
              <c:xMode val="edge"/>
              <c:yMode val="edge"/>
              <c:x val="0.48398479943491768"/>
              <c:y val="0.899019182412588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80896"/>
        <c:crosses val="autoZero"/>
        <c:crossBetween val="midCat"/>
      </c:valAx>
      <c:valAx>
        <c:axId val="25348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 (cm)</a:t>
                </a:r>
              </a:p>
            </c:rich>
          </c:tx>
          <c:layout>
            <c:manualLayout>
              <c:xMode val="edge"/>
              <c:yMode val="edge"/>
              <c:x val="2.4428254861068401E-2"/>
              <c:y val="0.371224212962501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4803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20</xdr:row>
      <xdr:rowOff>57150</xdr:rowOff>
    </xdr:from>
    <xdr:to>
      <xdr:col>13</xdr:col>
      <xdr:colOff>200025</xdr:colOff>
      <xdr:row>55</xdr:row>
      <xdr:rowOff>123825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18</xdr:row>
      <xdr:rowOff>66675</xdr:rowOff>
    </xdr:from>
    <xdr:to>
      <xdr:col>7</xdr:col>
      <xdr:colOff>142875</xdr:colOff>
      <xdr:row>36</xdr:row>
      <xdr:rowOff>9525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25</xdr:row>
      <xdr:rowOff>47625</xdr:rowOff>
    </xdr:from>
    <xdr:to>
      <xdr:col>15</xdr:col>
      <xdr:colOff>47625</xdr:colOff>
      <xdr:row>43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</xdr:row>
      <xdr:rowOff>57150</xdr:rowOff>
    </xdr:from>
    <xdr:to>
      <xdr:col>12</xdr:col>
      <xdr:colOff>152400</xdr:colOff>
      <xdr:row>19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13</xdr:row>
      <xdr:rowOff>142875</xdr:rowOff>
    </xdr:from>
    <xdr:to>
      <xdr:col>7</xdr:col>
      <xdr:colOff>171450</xdr:colOff>
      <xdr:row>34</xdr:row>
      <xdr:rowOff>57150</xdr:rowOff>
    </xdr:to>
    <xdr:graphicFrame macro="">
      <xdr:nvGraphicFramePr>
        <xdr:cNvPr id="204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8</xdr:row>
      <xdr:rowOff>76200</xdr:rowOff>
    </xdr:from>
    <xdr:to>
      <xdr:col>9</xdr:col>
      <xdr:colOff>152400</xdr:colOff>
      <xdr:row>25</xdr:row>
      <xdr:rowOff>57150</xdr:rowOff>
    </xdr:to>
    <xdr:graphicFrame macro="">
      <xdr:nvGraphicFramePr>
        <xdr:cNvPr id="30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41</xdr:row>
      <xdr:rowOff>47625</xdr:rowOff>
    </xdr:from>
    <xdr:to>
      <xdr:col>12</xdr:col>
      <xdr:colOff>666750</xdr:colOff>
      <xdr:row>58</xdr:row>
      <xdr:rowOff>28575</xdr:rowOff>
    </xdr:to>
    <xdr:graphicFrame macro="">
      <xdr:nvGraphicFramePr>
        <xdr:cNvPr id="51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15</xdr:row>
      <xdr:rowOff>19050</xdr:rowOff>
    </xdr:from>
    <xdr:to>
      <xdr:col>6</xdr:col>
      <xdr:colOff>447675</xdr:colOff>
      <xdr:row>32</xdr:row>
      <xdr:rowOff>0</xdr:rowOff>
    </xdr:to>
    <xdr:graphicFrame macro="">
      <xdr:nvGraphicFramePr>
        <xdr:cNvPr id="122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34</xdr:row>
      <xdr:rowOff>28575</xdr:rowOff>
    </xdr:from>
    <xdr:to>
      <xdr:col>12</xdr:col>
      <xdr:colOff>228600</xdr:colOff>
      <xdr:row>57</xdr:row>
      <xdr:rowOff>133350</xdr:rowOff>
    </xdr:to>
    <xdr:graphicFrame macro="">
      <xdr:nvGraphicFramePr>
        <xdr:cNvPr id="122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8</xdr:row>
      <xdr:rowOff>76200</xdr:rowOff>
    </xdr:from>
    <xdr:to>
      <xdr:col>9</xdr:col>
      <xdr:colOff>152400</xdr:colOff>
      <xdr:row>25</xdr:row>
      <xdr:rowOff>57150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733425</xdr:colOff>
      <xdr:row>34</xdr:row>
      <xdr:rowOff>0</xdr:rowOff>
    </xdr:from>
    <xdr:to>
      <xdr:col>9</xdr:col>
      <xdr:colOff>76200</xdr:colOff>
      <xdr:row>50</xdr:row>
      <xdr:rowOff>142875</xdr:rowOff>
    </xdr:to>
    <xdr:graphicFrame macro="">
      <xdr:nvGraphicFramePr>
        <xdr:cNvPr id="61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10</xdr:row>
      <xdr:rowOff>114300</xdr:rowOff>
    </xdr:from>
    <xdr:to>
      <xdr:col>17</xdr:col>
      <xdr:colOff>323850</xdr:colOff>
      <xdr:row>34</xdr:row>
      <xdr:rowOff>0</xdr:rowOff>
    </xdr:to>
    <xdr:graphicFrame macro="">
      <xdr:nvGraphicFramePr>
        <xdr:cNvPr id="11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15</xdr:row>
      <xdr:rowOff>152400</xdr:rowOff>
    </xdr:from>
    <xdr:to>
      <xdr:col>7</xdr:col>
      <xdr:colOff>38100</xdr:colOff>
      <xdr:row>37</xdr:row>
      <xdr:rowOff>57150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13</xdr:row>
      <xdr:rowOff>0</xdr:rowOff>
    </xdr:from>
    <xdr:to>
      <xdr:col>13</xdr:col>
      <xdr:colOff>409575</xdr:colOff>
      <xdr:row>29</xdr:row>
      <xdr:rowOff>19050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15</xdr:row>
      <xdr:rowOff>19050</xdr:rowOff>
    </xdr:from>
    <xdr:to>
      <xdr:col>6</xdr:col>
      <xdr:colOff>447675</xdr:colOff>
      <xdr:row>32</xdr:row>
      <xdr:rowOff>0</xdr:rowOff>
    </xdr:to>
    <xdr:graphicFrame macro="">
      <xdr:nvGraphicFramePr>
        <xdr:cNvPr id="40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34</xdr:row>
      <xdr:rowOff>28575</xdr:rowOff>
    </xdr:from>
    <xdr:to>
      <xdr:col>12</xdr:col>
      <xdr:colOff>228600</xdr:colOff>
      <xdr:row>57</xdr:row>
      <xdr:rowOff>133350</xdr:rowOff>
    </xdr:to>
    <xdr:graphicFrame macro="">
      <xdr:nvGraphicFramePr>
        <xdr:cNvPr id="40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70</xdr:row>
      <xdr:rowOff>114300</xdr:rowOff>
    </xdr:from>
    <xdr:to>
      <xdr:col>7</xdr:col>
      <xdr:colOff>95250</xdr:colOff>
      <xdr:row>88</xdr:row>
      <xdr:rowOff>57150</xdr:rowOff>
    </xdr:to>
    <xdr:graphicFrame macro="">
      <xdr:nvGraphicFramePr>
        <xdr:cNvPr id="40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pe_j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ock/Entw&#252;rfe/Entwurf-Aspen-BEF/Aspen-CO2-Daten-Auswertu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 der Mappe"/>
      <sheetName val="Amann, SDW"/>
      <sheetName val="CMA"/>
      <sheetName val="Jarvis"/>
      <sheetName val="Köstler"/>
      <sheetName val="Lyr, Fiedler, Tr."/>
      <sheetName val="Bungart"/>
      <sheetName val="Rock-BHK"/>
      <sheetName val="Hofmann"/>
      <sheetName val="Liesebach"/>
      <sheetName val="Stetter"/>
      <sheetName val="Jug"/>
      <sheetName val="Duchesne"/>
      <sheetName val="Johansson"/>
      <sheetName val="DesRochers"/>
      <sheetName val="Ruark + B."/>
      <sheetName val="Kronenbr."/>
      <sheetName val="Rätzel"/>
      <sheetName val="Leder"/>
      <sheetName val="Sämlinge"/>
      <sheetName val="Pinno"/>
      <sheetName val="Osawa"/>
      <sheetName val="Ewers"/>
      <sheetName val="Stockaus."/>
      <sheetName val="Bond_L"/>
      <sheetName val="Pflanzverbände"/>
      <sheetName val="##BlattmasseHöheAs"/>
      <sheetName val="##leafmass_sapwo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D4">
            <v>5.08</v>
          </cell>
          <cell r="E4">
            <v>1.524</v>
          </cell>
        </row>
        <row r="5">
          <cell r="D5">
            <v>12.7</v>
          </cell>
          <cell r="E5">
            <v>2.1335999999999999</v>
          </cell>
        </row>
        <row r="6">
          <cell r="D6">
            <v>17.78</v>
          </cell>
          <cell r="E6">
            <v>2.7431999999999999</v>
          </cell>
        </row>
        <row r="7">
          <cell r="D7">
            <v>30.48</v>
          </cell>
          <cell r="E7">
            <v>3.6576</v>
          </cell>
        </row>
        <row r="8">
          <cell r="D8">
            <v>33.020000000000003</v>
          </cell>
          <cell r="E8">
            <v>3.9624000000000001</v>
          </cell>
        </row>
        <row r="9">
          <cell r="D9">
            <v>45.72</v>
          </cell>
          <cell r="E9">
            <v>4.2671999999999999</v>
          </cell>
        </row>
        <row r="35">
          <cell r="B35" t="str">
            <v>CW_Bech_03</v>
          </cell>
          <cell r="C35" t="str">
            <v>CW_Bech_04</v>
          </cell>
          <cell r="D35" t="str">
            <v>CW_Beetle</v>
          </cell>
          <cell r="E35" t="str">
            <v>CW_Raetzel</v>
          </cell>
        </row>
        <row r="36">
          <cell r="A36">
            <v>2.5</v>
          </cell>
          <cell r="E36">
            <v>0.69763375000000005</v>
          </cell>
        </row>
        <row r="37">
          <cell r="A37">
            <v>5</v>
          </cell>
          <cell r="D37">
            <v>1.524</v>
          </cell>
          <cell r="E37">
            <v>1.3952675000000001</v>
          </cell>
        </row>
        <row r="38">
          <cell r="A38">
            <v>7.5</v>
          </cell>
          <cell r="E38">
            <v>2.0929012500000002</v>
          </cell>
        </row>
        <row r="39">
          <cell r="A39">
            <v>10</v>
          </cell>
          <cell r="E39">
            <v>2.7905350000000002</v>
          </cell>
        </row>
        <row r="40">
          <cell r="A40">
            <v>12.5</v>
          </cell>
          <cell r="B40">
            <v>3.3310764000000006</v>
          </cell>
          <cell r="C40">
            <v>2.5820472000000003</v>
          </cell>
          <cell r="D40">
            <v>2.1335999999999999</v>
          </cell>
          <cell r="E40">
            <v>3.4881687500000003</v>
          </cell>
        </row>
        <row r="41">
          <cell r="A41">
            <v>15</v>
          </cell>
          <cell r="B41">
            <v>3.7150164000000001</v>
          </cell>
          <cell r="C41">
            <v>2.9429172000000006</v>
          </cell>
          <cell r="E41">
            <v>4.1858025000000003</v>
          </cell>
        </row>
        <row r="42">
          <cell r="A42">
            <v>17.5</v>
          </cell>
          <cell r="B42">
            <v>4.0989564000000005</v>
          </cell>
          <cell r="C42">
            <v>3.3037872000000004</v>
          </cell>
          <cell r="D42">
            <v>2.7431999999999999</v>
          </cell>
          <cell r="E42">
            <v>4.8834362499999999</v>
          </cell>
        </row>
        <row r="43">
          <cell r="A43">
            <v>20</v>
          </cell>
          <cell r="B43">
            <v>4.4828964000000004</v>
          </cell>
          <cell r="C43">
            <v>3.6646572000000011</v>
          </cell>
          <cell r="E43">
            <v>5.5810700000000004</v>
          </cell>
        </row>
        <row r="44">
          <cell r="A44">
            <v>22.5</v>
          </cell>
          <cell r="B44">
            <v>4.8668364000000004</v>
          </cell>
          <cell r="C44">
            <v>4.0255272</v>
          </cell>
          <cell r="E44">
            <v>6.27870375</v>
          </cell>
        </row>
        <row r="45">
          <cell r="A45">
            <v>25</v>
          </cell>
          <cell r="B45">
            <v>5.2507764000000003</v>
          </cell>
          <cell r="C45">
            <v>4.3863972000000011</v>
          </cell>
          <cell r="E45">
            <v>6.9763375000000005</v>
          </cell>
        </row>
        <row r="46">
          <cell r="A46">
            <v>27.5</v>
          </cell>
          <cell r="B46">
            <v>5.6347164000000003</v>
          </cell>
          <cell r="C46">
            <v>4.7472672000000005</v>
          </cell>
          <cell r="E46">
            <v>7.6739712500000001</v>
          </cell>
        </row>
        <row r="47">
          <cell r="A47">
            <v>30</v>
          </cell>
          <cell r="B47">
            <v>6.0186564000000011</v>
          </cell>
          <cell r="C47">
            <v>5.1081372000000007</v>
          </cell>
          <cell r="D47">
            <v>3.6576</v>
          </cell>
          <cell r="E47">
            <v>8.3716050000000006</v>
          </cell>
        </row>
        <row r="48">
          <cell r="A48">
            <v>32.5</v>
          </cell>
          <cell r="B48">
            <v>6.4025964000000011</v>
          </cell>
          <cell r="C48">
            <v>5.469007200000001</v>
          </cell>
          <cell r="D48">
            <v>3.9624000000000001</v>
          </cell>
          <cell r="E48">
            <v>9.0692387500000002</v>
          </cell>
        </row>
        <row r="49">
          <cell r="A49">
            <v>35</v>
          </cell>
          <cell r="B49">
            <v>6.786536400000001</v>
          </cell>
          <cell r="C49">
            <v>5.8298772000000003</v>
          </cell>
          <cell r="E49">
            <v>9.7668724999999998</v>
          </cell>
        </row>
        <row r="50">
          <cell r="A50">
            <v>37.5</v>
          </cell>
          <cell r="B50">
            <v>7.1704764000000001</v>
          </cell>
          <cell r="C50">
            <v>6.1907472000000006</v>
          </cell>
          <cell r="E50">
            <v>10.464506250000001</v>
          </cell>
        </row>
        <row r="51">
          <cell r="A51">
            <v>40</v>
          </cell>
          <cell r="B51">
            <v>7.5544164</v>
          </cell>
          <cell r="C51">
            <v>6.5516172000000017</v>
          </cell>
          <cell r="E51">
            <v>11.162140000000001</v>
          </cell>
        </row>
        <row r="52">
          <cell r="A52">
            <v>42.5</v>
          </cell>
          <cell r="B52">
            <v>7.9383564</v>
          </cell>
          <cell r="C52">
            <v>6.9124872000000011</v>
          </cell>
          <cell r="E52">
            <v>11.85977375</v>
          </cell>
        </row>
        <row r="53">
          <cell r="A53">
            <v>45</v>
          </cell>
          <cell r="B53">
            <v>8.322296399999999</v>
          </cell>
          <cell r="C53">
            <v>7.2733572000000013</v>
          </cell>
          <cell r="D53">
            <v>4.2671999999999999</v>
          </cell>
          <cell r="E53">
            <v>12.5574075</v>
          </cell>
        </row>
        <row r="54">
          <cell r="A54">
            <v>47.5</v>
          </cell>
          <cell r="B54">
            <v>8.7062364000000017</v>
          </cell>
          <cell r="C54">
            <v>7.6342272000000007</v>
          </cell>
          <cell r="E54">
            <v>13.25504125</v>
          </cell>
        </row>
        <row r="55">
          <cell r="A55">
            <v>50</v>
          </cell>
          <cell r="B55">
            <v>9.0901764000000007</v>
          </cell>
          <cell r="C55">
            <v>7.9950972000000009</v>
          </cell>
          <cell r="E55">
            <v>13.952675000000001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3"/>
      <sheetName val="Tabelle4"/>
      <sheetName val="Baumdaten"/>
      <sheetName val="Scheiben"/>
      <sheetName val="Bestandeshöhenkurve"/>
      <sheetName val="BHK"/>
      <sheetName val="Gläser"/>
      <sheetName val="Tabelle1"/>
      <sheetName val="Kronenproben"/>
      <sheetName val="Feuchteprobe-1"/>
      <sheetName val="Feuchteprobe"/>
      <sheetName val="Raumluft-H2O"/>
      <sheetName val="Zunahmeprozente"/>
      <sheetName val="Feuchte-SPSS"/>
      <sheetName val="C-N-Daten"/>
      <sheetName val="Baumdaten-kurz"/>
      <sheetName val="C-Analyse"/>
    </sheetNames>
    <sheetDataSet>
      <sheetData sheetId="0"/>
      <sheetData sheetId="1"/>
      <sheetData sheetId="2"/>
      <sheetData sheetId="3"/>
      <sheetData sheetId="4">
        <row r="1">
          <cell r="E1" t="str">
            <v>Höhe</v>
          </cell>
        </row>
        <row r="2">
          <cell r="B2">
            <v>33</v>
          </cell>
          <cell r="E2">
            <v>23.43</v>
          </cell>
        </row>
        <row r="3">
          <cell r="B3">
            <v>26.15</v>
          </cell>
          <cell r="E3">
            <v>24.15</v>
          </cell>
        </row>
        <row r="4">
          <cell r="B4">
            <v>31.3</v>
          </cell>
          <cell r="E4">
            <v>23.51</v>
          </cell>
        </row>
        <row r="5">
          <cell r="B5">
            <v>26</v>
          </cell>
          <cell r="E5">
            <v>24.27</v>
          </cell>
        </row>
        <row r="6">
          <cell r="B6">
            <v>25.8</v>
          </cell>
          <cell r="E6">
            <v>23.13</v>
          </cell>
        </row>
        <row r="7">
          <cell r="B7">
            <v>24.2</v>
          </cell>
          <cell r="E7">
            <v>23.91</v>
          </cell>
        </row>
        <row r="8">
          <cell r="B8">
            <v>13.2</v>
          </cell>
          <cell r="E8">
            <v>19.87</v>
          </cell>
        </row>
        <row r="9">
          <cell r="B9">
            <v>27</v>
          </cell>
          <cell r="E9">
            <v>24.240000000000002</v>
          </cell>
        </row>
        <row r="10">
          <cell r="B10">
            <v>22.9</v>
          </cell>
          <cell r="E10">
            <v>23.004999999999999</v>
          </cell>
        </row>
        <row r="11">
          <cell r="B11">
            <v>30</v>
          </cell>
          <cell r="E11">
            <v>21.96</v>
          </cell>
        </row>
        <row r="12">
          <cell r="B12">
            <v>29.6</v>
          </cell>
          <cell r="E12">
            <v>20.919999999999998</v>
          </cell>
        </row>
        <row r="13">
          <cell r="B13">
            <v>14.6</v>
          </cell>
          <cell r="E13">
            <v>15.865</v>
          </cell>
        </row>
        <row r="14">
          <cell r="B14">
            <v>30.3</v>
          </cell>
          <cell r="E14">
            <v>22.790000000000003</v>
          </cell>
        </row>
        <row r="15">
          <cell r="B15">
            <v>30.1</v>
          </cell>
          <cell r="E15">
            <v>24.7</v>
          </cell>
        </row>
        <row r="16">
          <cell r="B16">
            <v>25.5</v>
          </cell>
          <cell r="E16">
            <v>22.55</v>
          </cell>
        </row>
        <row r="17">
          <cell r="B17">
            <v>29.6</v>
          </cell>
          <cell r="E17">
            <v>23.8</v>
          </cell>
        </row>
      </sheetData>
      <sheetData sheetId="5" refreshError="1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3" zoomScale="75" workbookViewId="0">
      <selection activeCell="A16" sqref="A16:IV16"/>
    </sheetView>
  </sheetViews>
  <sheetFormatPr baseColWidth="10" defaultRowHeight="12.75"/>
  <cols>
    <col min="2" max="2" width="16.85546875" customWidth="1"/>
    <col min="3" max="3" width="53.7109375" customWidth="1"/>
  </cols>
  <sheetData>
    <row r="1" spans="1:8" s="2" customFormat="1" ht="15.75">
      <c r="A1" s="1" t="s">
        <v>1424</v>
      </c>
    </row>
    <row r="2" spans="1:8" s="2" customFormat="1">
      <c r="A2" s="3" t="s">
        <v>1433</v>
      </c>
      <c r="C2" s="4" t="s">
        <v>1432</v>
      </c>
      <c r="D2" s="3"/>
    </row>
    <row r="3" spans="1:8" s="2" customFormat="1">
      <c r="D3" s="5" t="s">
        <v>1425</v>
      </c>
      <c r="E3" s="5" t="s">
        <v>1426</v>
      </c>
    </row>
    <row r="4" spans="1:8" s="2" customFormat="1">
      <c r="A4" s="5" t="s">
        <v>1427</v>
      </c>
      <c r="B4" s="5"/>
      <c r="C4" s="5" t="s">
        <v>1428</v>
      </c>
      <c r="D4" s="5" t="s">
        <v>1434</v>
      </c>
      <c r="E4" s="5" t="s">
        <v>1435</v>
      </c>
      <c r="F4" s="5" t="s">
        <v>1436</v>
      </c>
      <c r="G4" s="5" t="s">
        <v>1437</v>
      </c>
      <c r="H4" s="5" t="s">
        <v>1431</v>
      </c>
    </row>
    <row r="6" spans="1:8" s="2" customFormat="1">
      <c r="A6" s="3" t="s">
        <v>503</v>
      </c>
      <c r="C6" s="22" t="s">
        <v>514</v>
      </c>
      <c r="D6" s="3" t="s">
        <v>1434</v>
      </c>
      <c r="E6" s="3"/>
      <c r="F6" s="3"/>
      <c r="G6" s="3"/>
      <c r="H6" s="3" t="s">
        <v>504</v>
      </c>
    </row>
    <row r="7" spans="1:8" s="2" customFormat="1">
      <c r="A7" s="3" t="s">
        <v>505</v>
      </c>
      <c r="C7" s="22" t="s">
        <v>506</v>
      </c>
      <c r="D7" s="3" t="s">
        <v>1434</v>
      </c>
      <c r="E7" s="3"/>
      <c r="F7" s="3"/>
      <c r="G7" s="3"/>
      <c r="H7" s="3" t="s">
        <v>507</v>
      </c>
    </row>
    <row r="8" spans="1:8" s="2" customFormat="1">
      <c r="A8" s="3" t="s">
        <v>508</v>
      </c>
      <c r="B8" s="10" t="s">
        <v>208</v>
      </c>
      <c r="C8" s="22" t="s">
        <v>509</v>
      </c>
      <c r="D8" s="3" t="s">
        <v>1434</v>
      </c>
      <c r="E8" s="3"/>
      <c r="F8" s="3"/>
      <c r="H8" s="3" t="s">
        <v>1434</v>
      </c>
    </row>
    <row r="9" spans="1:8" s="2" customFormat="1">
      <c r="A9" s="3" t="s">
        <v>510</v>
      </c>
      <c r="B9" s="10" t="s">
        <v>299</v>
      </c>
      <c r="C9" s="22" t="s">
        <v>511</v>
      </c>
      <c r="D9" s="3" t="s">
        <v>1434</v>
      </c>
      <c r="H9" s="3" t="s">
        <v>504</v>
      </c>
    </row>
    <row r="10" spans="1:8" s="2" customFormat="1" ht="25.5">
      <c r="A10" s="3" t="s">
        <v>512</v>
      </c>
      <c r="B10" s="25" t="s">
        <v>426</v>
      </c>
      <c r="C10" s="22" t="s">
        <v>513</v>
      </c>
      <c r="D10" s="3" t="s">
        <v>525</v>
      </c>
      <c r="E10" s="3"/>
      <c r="F10" s="3"/>
      <c r="G10" s="3"/>
      <c r="H10" s="3" t="s">
        <v>507</v>
      </c>
    </row>
    <row r="11" spans="1:8">
      <c r="A11" s="3" t="s">
        <v>519</v>
      </c>
      <c r="B11" t="s">
        <v>483</v>
      </c>
      <c r="C11" s="22" t="s">
        <v>520</v>
      </c>
      <c r="D11" t="s">
        <v>524</v>
      </c>
      <c r="F11" t="s">
        <v>521</v>
      </c>
      <c r="G11" t="s">
        <v>522</v>
      </c>
      <c r="H11" s="3" t="s">
        <v>523</v>
      </c>
    </row>
    <row r="12" spans="1:8">
      <c r="A12" s="3" t="s">
        <v>701</v>
      </c>
      <c r="B12" t="s">
        <v>484</v>
      </c>
      <c r="C12" s="22" t="s">
        <v>702</v>
      </c>
      <c r="D12" s="3" t="s">
        <v>1434</v>
      </c>
    </row>
    <row r="13" spans="1:8">
      <c r="A13" s="3" t="s">
        <v>704</v>
      </c>
      <c r="B13" t="s">
        <v>707</v>
      </c>
      <c r="C13" s="22" t="s">
        <v>703</v>
      </c>
      <c r="D13" s="3" t="s">
        <v>1434</v>
      </c>
      <c r="E13" t="s">
        <v>705</v>
      </c>
      <c r="F13" t="s">
        <v>705</v>
      </c>
      <c r="G13" t="s">
        <v>705</v>
      </c>
      <c r="H13" s="3" t="s">
        <v>706</v>
      </c>
    </row>
    <row r="14" spans="1:8">
      <c r="A14" t="s">
        <v>785</v>
      </c>
      <c r="B14" t="s">
        <v>1327</v>
      </c>
      <c r="C14" s="22" t="s">
        <v>216</v>
      </c>
      <c r="D14" s="3" t="s">
        <v>1434</v>
      </c>
      <c r="H14" s="3" t="s">
        <v>524</v>
      </c>
    </row>
    <row r="15" spans="1:8">
      <c r="A15" s="3" t="s">
        <v>217</v>
      </c>
      <c r="B15" s="71" t="s">
        <v>1083</v>
      </c>
      <c r="C15" s="22" t="s">
        <v>218</v>
      </c>
      <c r="F15" t="s">
        <v>521</v>
      </c>
      <c r="H15" s="3" t="s">
        <v>1086</v>
      </c>
    </row>
    <row r="16" spans="1:8">
      <c r="A16" s="3" t="s">
        <v>219</v>
      </c>
      <c r="B16" t="s">
        <v>1093</v>
      </c>
      <c r="C16" s="22" t="s">
        <v>220</v>
      </c>
      <c r="D16" s="3" t="s">
        <v>1434</v>
      </c>
    </row>
    <row r="17" spans="1:4">
      <c r="A17" s="3" t="s">
        <v>221</v>
      </c>
      <c r="B17" t="s">
        <v>486</v>
      </c>
      <c r="C17" s="22" t="s">
        <v>218</v>
      </c>
      <c r="D17" s="3" t="s">
        <v>1434</v>
      </c>
    </row>
    <row r="18" spans="1:4">
      <c r="A18" t="s">
        <v>222</v>
      </c>
      <c r="B18" t="s">
        <v>1176</v>
      </c>
      <c r="C18" s="22" t="s">
        <v>223</v>
      </c>
      <c r="D18" s="3" t="s">
        <v>1434</v>
      </c>
    </row>
    <row r="19" spans="1:4" ht="25.5">
      <c r="A19" t="s">
        <v>1406</v>
      </c>
      <c r="B19" t="s">
        <v>1406</v>
      </c>
      <c r="C19" s="22" t="s">
        <v>224</v>
      </c>
      <c r="D19" s="3" t="s">
        <v>1434</v>
      </c>
    </row>
    <row r="20" spans="1:4">
      <c r="A20" t="s">
        <v>1228</v>
      </c>
      <c r="B20" t="s">
        <v>1228</v>
      </c>
      <c r="C20" s="22" t="s">
        <v>225</v>
      </c>
      <c r="D20" s="3" t="s">
        <v>1434</v>
      </c>
    </row>
    <row r="21" spans="1:4">
      <c r="A21" t="s">
        <v>226</v>
      </c>
      <c r="B21" t="s">
        <v>1220</v>
      </c>
      <c r="C21" s="22" t="s">
        <v>227</v>
      </c>
      <c r="D21" s="3" t="s">
        <v>1434</v>
      </c>
    </row>
    <row r="22" spans="1:4">
      <c r="A22" t="s">
        <v>228</v>
      </c>
      <c r="B22" t="s">
        <v>1204</v>
      </c>
      <c r="C22" s="22" t="s">
        <v>230</v>
      </c>
      <c r="D22" s="3" t="s">
        <v>1434</v>
      </c>
    </row>
    <row r="23" spans="1:4">
      <c r="A23" t="s">
        <v>229</v>
      </c>
      <c r="B23" t="s">
        <v>620</v>
      </c>
      <c r="C23" s="22" t="s">
        <v>231</v>
      </c>
      <c r="D23" s="3" t="s">
        <v>1434</v>
      </c>
    </row>
    <row r="24" spans="1:4" ht="25.5">
      <c r="A24" t="s">
        <v>232</v>
      </c>
      <c r="B24" t="s">
        <v>487</v>
      </c>
      <c r="C24" s="22" t="s">
        <v>233</v>
      </c>
      <c r="D24" s="3" t="s">
        <v>1434</v>
      </c>
    </row>
    <row r="25" spans="1:4">
      <c r="B25" t="s">
        <v>488</v>
      </c>
      <c r="C25" s="22"/>
      <c r="D25" s="3"/>
    </row>
    <row r="26" spans="1:4">
      <c r="A26" t="s">
        <v>234</v>
      </c>
      <c r="B26" t="s">
        <v>432</v>
      </c>
      <c r="C26" s="22" t="s">
        <v>235</v>
      </c>
      <c r="D26" s="3" t="s">
        <v>1434</v>
      </c>
    </row>
    <row r="27" spans="1:4">
      <c r="A27" t="s">
        <v>713</v>
      </c>
      <c r="B27" t="s">
        <v>489</v>
      </c>
      <c r="C27" s="22" t="s">
        <v>236</v>
      </c>
      <c r="D27" s="3" t="s">
        <v>1434</v>
      </c>
    </row>
    <row r="28" spans="1:4">
      <c r="A28" t="s">
        <v>237</v>
      </c>
      <c r="B28" t="s">
        <v>490</v>
      </c>
      <c r="C28" s="22" t="s">
        <v>238</v>
      </c>
      <c r="D28" s="3" t="s">
        <v>1434</v>
      </c>
    </row>
    <row r="29" spans="1:4">
      <c r="A29" t="s">
        <v>239</v>
      </c>
      <c r="B29" s="26" t="s">
        <v>491</v>
      </c>
      <c r="C29" s="22" t="s">
        <v>240</v>
      </c>
      <c r="D29" s="3" t="s">
        <v>1434</v>
      </c>
    </row>
    <row r="30" spans="1:4">
      <c r="B30" s="26" t="s">
        <v>492</v>
      </c>
      <c r="C30" s="22"/>
      <c r="D30" s="3"/>
    </row>
    <row r="31" spans="1:4" ht="25.5">
      <c r="A31" t="s">
        <v>272</v>
      </c>
      <c r="B31" t="s">
        <v>241</v>
      </c>
      <c r="C31" s="22" t="s">
        <v>273</v>
      </c>
      <c r="D31" s="3" t="s">
        <v>1434</v>
      </c>
    </row>
    <row r="32" spans="1:4" ht="25.5">
      <c r="A32" t="s">
        <v>481</v>
      </c>
      <c r="B32" t="s">
        <v>493</v>
      </c>
      <c r="C32" s="22" t="s">
        <v>482</v>
      </c>
      <c r="D32" s="3" t="s">
        <v>1434</v>
      </c>
    </row>
    <row r="33" spans="1:7">
      <c r="A33" t="s">
        <v>1253</v>
      </c>
      <c r="B33" t="s">
        <v>1251</v>
      </c>
      <c r="C33" s="22" t="s">
        <v>1252</v>
      </c>
    </row>
    <row r="34" spans="1:7">
      <c r="A34" t="s">
        <v>1379</v>
      </c>
    </row>
    <row r="35" spans="1:7">
      <c r="A35" t="s">
        <v>802</v>
      </c>
      <c r="B35" t="s">
        <v>801</v>
      </c>
      <c r="C35" s="22" t="s">
        <v>803</v>
      </c>
    </row>
    <row r="36" spans="1:7" ht="25.5">
      <c r="A36" t="s">
        <v>112</v>
      </c>
      <c r="B36" t="s">
        <v>111</v>
      </c>
      <c r="C36" s="22" t="s">
        <v>113</v>
      </c>
      <c r="D36" t="s">
        <v>114</v>
      </c>
      <c r="E36" t="s">
        <v>705</v>
      </c>
      <c r="F36" t="s">
        <v>705</v>
      </c>
      <c r="G36" t="s">
        <v>705</v>
      </c>
    </row>
    <row r="37" spans="1:7" ht="25.5">
      <c r="A37" t="s">
        <v>963</v>
      </c>
      <c r="B37" t="s">
        <v>964</v>
      </c>
      <c r="C37" s="22" t="s">
        <v>965</v>
      </c>
      <c r="D37" t="s">
        <v>966</v>
      </c>
      <c r="G37" t="s">
        <v>705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7"/>
  <sheetViews>
    <sheetView topLeftCell="A154" workbookViewId="0">
      <selection activeCell="F187" sqref="F187"/>
    </sheetView>
  </sheetViews>
  <sheetFormatPr baseColWidth="10" defaultRowHeight="12.75"/>
  <sheetData>
    <row r="1" spans="1:1">
      <c r="A1" t="s">
        <v>785</v>
      </c>
    </row>
    <row r="3" spans="1:1">
      <c r="A3" t="s">
        <v>1326</v>
      </c>
    </row>
    <row r="6" spans="1:1">
      <c r="A6" t="s">
        <v>786</v>
      </c>
    </row>
    <row r="7" spans="1:1">
      <c r="A7" t="s">
        <v>787</v>
      </c>
    </row>
    <row r="8" spans="1:1">
      <c r="A8" t="s">
        <v>788</v>
      </c>
    </row>
    <row r="9" spans="1:1">
      <c r="A9" t="s">
        <v>789</v>
      </c>
    </row>
    <row r="10" spans="1:1">
      <c r="A10" t="s">
        <v>790</v>
      </c>
    </row>
    <row r="16" spans="1:1">
      <c r="A16" s="26" t="s">
        <v>791</v>
      </c>
    </row>
    <row r="17" spans="1:6">
      <c r="C17" t="s">
        <v>792</v>
      </c>
    </row>
    <row r="18" spans="1:6">
      <c r="C18" t="s">
        <v>738</v>
      </c>
      <c r="D18" t="s">
        <v>726</v>
      </c>
    </row>
    <row r="19" spans="1:6">
      <c r="A19" t="s">
        <v>793</v>
      </c>
      <c r="C19">
        <v>7</v>
      </c>
      <c r="D19">
        <v>17.600000000000001</v>
      </c>
    </row>
    <row r="20" spans="1:6">
      <c r="A20" t="s">
        <v>794</v>
      </c>
      <c r="C20">
        <v>32.5</v>
      </c>
      <c r="D20">
        <v>29.8</v>
      </c>
    </row>
    <row r="21" spans="1:6">
      <c r="A21" t="s">
        <v>795</v>
      </c>
      <c r="C21">
        <v>22</v>
      </c>
      <c r="D21">
        <v>40.6</v>
      </c>
    </row>
    <row r="22" spans="1:6">
      <c r="A22" t="s">
        <v>796</v>
      </c>
      <c r="C22">
        <v>23</v>
      </c>
      <c r="D22">
        <v>34</v>
      </c>
    </row>
    <row r="23" spans="1:6">
      <c r="A23" t="s">
        <v>797</v>
      </c>
      <c r="C23">
        <v>15.5</v>
      </c>
      <c r="D23">
        <v>26.9</v>
      </c>
    </row>
    <row r="24" spans="1:6">
      <c r="A24" t="s">
        <v>798</v>
      </c>
      <c r="C24">
        <v>16.5</v>
      </c>
      <c r="D24">
        <v>20.3</v>
      </c>
    </row>
    <row r="25" spans="1:6">
      <c r="A25" t="s">
        <v>799</v>
      </c>
      <c r="C25">
        <v>18.5</v>
      </c>
      <c r="D25">
        <v>38.700000000000003</v>
      </c>
      <c r="F25" t="s">
        <v>800</v>
      </c>
    </row>
    <row r="26" spans="1:6">
      <c r="A26" t="s">
        <v>762</v>
      </c>
      <c r="C26">
        <v>13.8</v>
      </c>
      <c r="D26">
        <v>31</v>
      </c>
    </row>
    <row r="29" spans="1:6">
      <c r="A29" t="s">
        <v>815</v>
      </c>
    </row>
    <row r="32" spans="1:6">
      <c r="A32" s="26" t="s">
        <v>829</v>
      </c>
    </row>
    <row r="34" spans="1:28">
      <c r="A34" t="s">
        <v>728</v>
      </c>
      <c r="C34" t="s">
        <v>818</v>
      </c>
      <c r="D34" t="s">
        <v>819</v>
      </c>
      <c r="E34" t="s">
        <v>776</v>
      </c>
      <c r="F34" t="s">
        <v>777</v>
      </c>
      <c r="G34" t="s">
        <v>820</v>
      </c>
      <c r="H34" t="s">
        <v>821</v>
      </c>
      <c r="I34" t="s">
        <v>822</v>
      </c>
      <c r="J34" t="s">
        <v>823</v>
      </c>
      <c r="K34" t="s">
        <v>824</v>
      </c>
      <c r="L34" t="s">
        <v>825</v>
      </c>
      <c r="M34" t="s">
        <v>826</v>
      </c>
      <c r="N34" t="s">
        <v>827</v>
      </c>
      <c r="O34" s="26" t="s">
        <v>816</v>
      </c>
      <c r="Q34" t="s">
        <v>818</v>
      </c>
      <c r="R34" t="s">
        <v>819</v>
      </c>
      <c r="S34" t="s">
        <v>776</v>
      </c>
      <c r="T34" t="s">
        <v>777</v>
      </c>
      <c r="U34" t="s">
        <v>820</v>
      </c>
      <c r="V34" t="s">
        <v>821</v>
      </c>
      <c r="W34" t="s">
        <v>822</v>
      </c>
      <c r="X34" t="s">
        <v>823</v>
      </c>
      <c r="Y34" t="s">
        <v>824</v>
      </c>
      <c r="Z34" t="s">
        <v>825</v>
      </c>
      <c r="AA34" t="s">
        <v>826</v>
      </c>
      <c r="AB34" t="s">
        <v>827</v>
      </c>
    </row>
    <row r="35" spans="1:28">
      <c r="A35" t="s">
        <v>793</v>
      </c>
      <c r="C35">
        <v>8.5</v>
      </c>
      <c r="D35">
        <v>8.5</v>
      </c>
      <c r="E35">
        <f t="shared" ref="E35:G40" si="0">F35-D35</f>
        <v>0.30000000000000071</v>
      </c>
      <c r="F35">
        <v>8.8000000000000007</v>
      </c>
      <c r="G35">
        <f>H35-F35</f>
        <v>3.6999999999999993</v>
      </c>
      <c r="H35">
        <v>12.5</v>
      </c>
      <c r="I35">
        <f t="shared" ref="I35:I40" si="1">J35-H35</f>
        <v>2</v>
      </c>
      <c r="J35">
        <v>14.5</v>
      </c>
      <c r="K35">
        <f t="shared" ref="K35:K40" si="2">L35-J35</f>
        <v>2.3000000000000007</v>
      </c>
      <c r="L35">
        <v>16.8</v>
      </c>
      <c r="M35">
        <f t="shared" ref="M35:M40" si="3">N35-L35</f>
        <v>5.1999999999999993</v>
      </c>
      <c r="N35">
        <v>22</v>
      </c>
      <c r="O35" t="s">
        <v>817</v>
      </c>
      <c r="Q35" s="55">
        <f t="shared" ref="Q35:Q40" si="4">C35/36.6*100</f>
        <v>23.224043715846992</v>
      </c>
      <c r="R35" s="55">
        <f t="shared" ref="R35:AB40" si="5">D35/36.6*100</f>
        <v>23.224043715846992</v>
      </c>
      <c r="S35" s="55">
        <f t="shared" si="5"/>
        <v>0.81967213114754289</v>
      </c>
      <c r="T35" s="55">
        <f t="shared" si="5"/>
        <v>24.043715846994537</v>
      </c>
      <c r="U35" s="55">
        <f t="shared" si="5"/>
        <v>10.109289617486336</v>
      </c>
      <c r="V35" s="55">
        <f t="shared" si="5"/>
        <v>34.15300546448087</v>
      </c>
      <c r="W35" s="55">
        <f t="shared" si="5"/>
        <v>5.4644808743169397</v>
      </c>
      <c r="X35" s="55">
        <f t="shared" si="5"/>
        <v>39.617486338797811</v>
      </c>
      <c r="Y35" s="55">
        <f t="shared" si="5"/>
        <v>6.2841530054644821</v>
      </c>
      <c r="Z35" s="55">
        <f t="shared" si="5"/>
        <v>45.901639344262293</v>
      </c>
      <c r="AA35" s="55">
        <f t="shared" si="5"/>
        <v>14.20765027322404</v>
      </c>
      <c r="AB35" s="55">
        <f t="shared" si="5"/>
        <v>60.10928961748634</v>
      </c>
    </row>
    <row r="36" spans="1:28">
      <c r="A36" t="s">
        <v>794</v>
      </c>
      <c r="C36">
        <v>15.1</v>
      </c>
      <c r="D36">
        <v>15.1</v>
      </c>
      <c r="E36">
        <f t="shared" si="0"/>
        <v>1.5000000000000018</v>
      </c>
      <c r="F36">
        <v>16.600000000000001</v>
      </c>
      <c r="G36">
        <f t="shared" si="0"/>
        <v>5.3999999999999986</v>
      </c>
      <c r="H36">
        <v>22</v>
      </c>
      <c r="I36">
        <f t="shared" si="1"/>
        <v>1.1999999999999993</v>
      </c>
      <c r="J36">
        <v>23.2</v>
      </c>
      <c r="K36">
        <f t="shared" si="2"/>
        <v>3.4000000000000021</v>
      </c>
      <c r="L36">
        <v>26.6</v>
      </c>
      <c r="M36">
        <f t="shared" si="3"/>
        <v>5.1999999999999993</v>
      </c>
      <c r="N36">
        <v>31.8</v>
      </c>
      <c r="Q36" s="55">
        <f t="shared" si="4"/>
        <v>41.256830601092894</v>
      </c>
      <c r="R36" s="55">
        <f t="shared" si="5"/>
        <v>41.256830601092894</v>
      </c>
      <c r="S36" s="55">
        <f t="shared" si="5"/>
        <v>4.098360655737709</v>
      </c>
      <c r="T36" s="55">
        <f t="shared" si="5"/>
        <v>45.355191256830601</v>
      </c>
      <c r="U36" s="55">
        <f t="shared" si="5"/>
        <v>14.754098360655732</v>
      </c>
      <c r="V36" s="55">
        <f t="shared" si="5"/>
        <v>60.10928961748634</v>
      </c>
      <c r="W36" s="55">
        <f t="shared" si="5"/>
        <v>3.2786885245901622</v>
      </c>
      <c r="X36" s="55">
        <f t="shared" si="5"/>
        <v>63.387978142076499</v>
      </c>
      <c r="Y36" s="55">
        <f t="shared" si="5"/>
        <v>9.2896174863388037</v>
      </c>
      <c r="Z36" s="55">
        <f t="shared" si="5"/>
        <v>72.677595628415304</v>
      </c>
      <c r="AA36" s="55">
        <f t="shared" si="5"/>
        <v>14.20765027322404</v>
      </c>
      <c r="AB36" s="55">
        <f t="shared" si="5"/>
        <v>86.885245901639337</v>
      </c>
    </row>
    <row r="37" spans="1:28">
      <c r="A37" t="s">
        <v>795</v>
      </c>
      <c r="C37">
        <v>14.9</v>
      </c>
      <c r="D37">
        <v>14.9</v>
      </c>
      <c r="E37">
        <f t="shared" si="0"/>
        <v>2.0999999999999996</v>
      </c>
      <c r="F37">
        <v>17</v>
      </c>
      <c r="G37">
        <f t="shared" si="0"/>
        <v>5.8000000000000007</v>
      </c>
      <c r="H37">
        <v>22.8</v>
      </c>
      <c r="I37">
        <f t="shared" si="1"/>
        <v>1.3999999999999986</v>
      </c>
      <c r="J37">
        <v>24.2</v>
      </c>
      <c r="K37">
        <f t="shared" si="2"/>
        <v>2.6999999999999993</v>
      </c>
      <c r="L37">
        <v>26.9</v>
      </c>
      <c r="M37">
        <f t="shared" si="3"/>
        <v>5</v>
      </c>
      <c r="N37">
        <v>31.9</v>
      </c>
      <c r="Q37" s="55">
        <f t="shared" si="4"/>
        <v>40.710382513661202</v>
      </c>
      <c r="R37" s="55">
        <f t="shared" si="5"/>
        <v>40.710382513661202</v>
      </c>
      <c r="S37" s="55">
        <f t="shared" si="5"/>
        <v>5.7377049180327857</v>
      </c>
      <c r="T37" s="55">
        <f t="shared" si="5"/>
        <v>46.448087431693985</v>
      </c>
      <c r="U37" s="55">
        <f t="shared" si="5"/>
        <v>15.846994535519126</v>
      </c>
      <c r="V37" s="55">
        <f t="shared" si="5"/>
        <v>62.295081967213115</v>
      </c>
      <c r="W37" s="55">
        <f t="shared" si="5"/>
        <v>3.8251366120218537</v>
      </c>
      <c r="X37" s="55">
        <f t="shared" si="5"/>
        <v>66.120218579234972</v>
      </c>
      <c r="Y37" s="55">
        <f t="shared" si="5"/>
        <v>7.3770491803278659</v>
      </c>
      <c r="Z37" s="55">
        <f t="shared" si="5"/>
        <v>73.497267759562831</v>
      </c>
      <c r="AA37" s="55">
        <f t="shared" si="5"/>
        <v>13.661202185792348</v>
      </c>
      <c r="AB37" s="55">
        <f t="shared" si="5"/>
        <v>87.158469945355193</v>
      </c>
    </row>
    <row r="38" spans="1:28">
      <c r="A38" t="s">
        <v>796</v>
      </c>
      <c r="C38">
        <v>16.399999999999999</v>
      </c>
      <c r="D38">
        <v>16.399999999999999</v>
      </c>
      <c r="E38">
        <f t="shared" si="0"/>
        <v>1.8000000000000007</v>
      </c>
      <c r="F38">
        <v>18.2</v>
      </c>
      <c r="G38">
        <f t="shared" si="0"/>
        <v>5.5</v>
      </c>
      <c r="H38">
        <v>23.7</v>
      </c>
      <c r="I38">
        <f t="shared" si="1"/>
        <v>1.8000000000000007</v>
      </c>
      <c r="J38">
        <v>25.5</v>
      </c>
      <c r="K38">
        <f t="shared" si="2"/>
        <v>3</v>
      </c>
      <c r="L38">
        <v>28.5</v>
      </c>
      <c r="M38">
        <f t="shared" si="3"/>
        <v>5.5</v>
      </c>
      <c r="N38">
        <v>34</v>
      </c>
      <c r="Q38" s="55">
        <f t="shared" si="4"/>
        <v>44.808743169398902</v>
      </c>
      <c r="R38" s="55">
        <f t="shared" si="5"/>
        <v>44.808743169398902</v>
      </c>
      <c r="S38" s="55">
        <f t="shared" si="5"/>
        <v>4.9180327868852478</v>
      </c>
      <c r="T38" s="55">
        <f t="shared" si="5"/>
        <v>49.72677595628415</v>
      </c>
      <c r="U38" s="55">
        <f t="shared" si="5"/>
        <v>15.027322404371585</v>
      </c>
      <c r="V38" s="55">
        <f t="shared" si="5"/>
        <v>64.754098360655732</v>
      </c>
      <c r="W38" s="55">
        <f t="shared" si="5"/>
        <v>4.9180327868852478</v>
      </c>
      <c r="X38" s="55">
        <f t="shared" si="5"/>
        <v>69.672131147540981</v>
      </c>
      <c r="Y38" s="55">
        <f t="shared" si="5"/>
        <v>8.1967213114754092</v>
      </c>
      <c r="Z38" s="55">
        <f t="shared" si="5"/>
        <v>77.868852459016395</v>
      </c>
      <c r="AA38" s="55">
        <f t="shared" si="5"/>
        <v>15.027322404371585</v>
      </c>
      <c r="AB38" s="55">
        <f t="shared" si="5"/>
        <v>92.896174863387969</v>
      </c>
    </row>
    <row r="39" spans="1:28">
      <c r="A39" t="s">
        <v>797</v>
      </c>
      <c r="C39">
        <v>11.6</v>
      </c>
      <c r="D39">
        <v>11.6</v>
      </c>
      <c r="E39">
        <f t="shared" si="0"/>
        <v>1.4000000000000004</v>
      </c>
      <c r="F39">
        <v>13</v>
      </c>
      <c r="G39">
        <f t="shared" si="0"/>
        <v>4.8000000000000007</v>
      </c>
      <c r="H39">
        <v>17.8</v>
      </c>
      <c r="I39">
        <f t="shared" si="1"/>
        <v>1.8000000000000007</v>
      </c>
      <c r="J39">
        <v>19.600000000000001</v>
      </c>
      <c r="K39">
        <f t="shared" si="2"/>
        <v>3.3999999999999986</v>
      </c>
      <c r="L39">
        <v>23</v>
      </c>
      <c r="M39">
        <f t="shared" si="3"/>
        <v>5</v>
      </c>
      <c r="N39">
        <v>28</v>
      </c>
      <c r="Q39" s="55">
        <f t="shared" si="4"/>
        <v>31.693989071038249</v>
      </c>
      <c r="R39" s="55">
        <f t="shared" si="5"/>
        <v>31.693989071038249</v>
      </c>
      <c r="S39" s="55">
        <f t="shared" si="5"/>
        <v>3.8251366120218586</v>
      </c>
      <c r="T39" s="55">
        <f t="shared" si="5"/>
        <v>35.519125683060111</v>
      </c>
      <c r="U39" s="55">
        <f t="shared" si="5"/>
        <v>13.114754098360656</v>
      </c>
      <c r="V39" s="55">
        <f t="shared" si="5"/>
        <v>48.633879781420767</v>
      </c>
      <c r="W39" s="55">
        <f t="shared" si="5"/>
        <v>4.9180327868852478</v>
      </c>
      <c r="X39" s="55">
        <f t="shared" si="5"/>
        <v>53.551912568306015</v>
      </c>
      <c r="Y39" s="55">
        <f t="shared" si="5"/>
        <v>9.2896174863387948</v>
      </c>
      <c r="Z39" s="55">
        <f t="shared" si="5"/>
        <v>62.841530054644799</v>
      </c>
      <c r="AA39" s="55">
        <f t="shared" si="5"/>
        <v>13.661202185792348</v>
      </c>
      <c r="AB39" s="55">
        <f t="shared" si="5"/>
        <v>76.502732240437155</v>
      </c>
    </row>
    <row r="40" spans="1:28">
      <c r="A40" t="s">
        <v>798</v>
      </c>
      <c r="C40">
        <v>12</v>
      </c>
      <c r="D40">
        <v>12</v>
      </c>
      <c r="E40">
        <f t="shared" si="0"/>
        <v>0</v>
      </c>
      <c r="F40">
        <v>12</v>
      </c>
      <c r="G40">
        <f t="shared" si="0"/>
        <v>4</v>
      </c>
      <c r="H40">
        <v>16</v>
      </c>
      <c r="I40">
        <f t="shared" si="1"/>
        <v>0.80000000000000071</v>
      </c>
      <c r="J40">
        <v>16.8</v>
      </c>
      <c r="K40">
        <f t="shared" si="2"/>
        <v>2.3999999999999986</v>
      </c>
      <c r="L40">
        <v>19.2</v>
      </c>
      <c r="M40">
        <f t="shared" si="3"/>
        <v>2.9000000000000021</v>
      </c>
      <c r="N40">
        <v>22.1</v>
      </c>
      <c r="Q40" s="55">
        <f t="shared" si="4"/>
        <v>32.786885245901637</v>
      </c>
      <c r="R40" s="55">
        <f t="shared" si="5"/>
        <v>32.786885245901637</v>
      </c>
      <c r="S40" s="55">
        <f t="shared" si="5"/>
        <v>0</v>
      </c>
      <c r="T40" s="55">
        <f t="shared" si="5"/>
        <v>32.786885245901637</v>
      </c>
      <c r="U40" s="55">
        <f t="shared" si="5"/>
        <v>10.928961748633879</v>
      </c>
      <c r="V40" s="55">
        <f t="shared" si="5"/>
        <v>43.715846994535518</v>
      </c>
      <c r="W40" s="55">
        <f t="shared" si="5"/>
        <v>2.1857923497267775</v>
      </c>
      <c r="X40" s="55">
        <f t="shared" si="5"/>
        <v>45.901639344262293</v>
      </c>
      <c r="Y40" s="55">
        <f t="shared" si="5"/>
        <v>6.5573770491803245</v>
      </c>
      <c r="Z40" s="55">
        <f t="shared" si="5"/>
        <v>52.459016393442617</v>
      </c>
      <c r="AA40" s="55">
        <f t="shared" si="5"/>
        <v>7.9234972677595685</v>
      </c>
      <c r="AB40" s="55">
        <f t="shared" si="5"/>
        <v>60.382513661202189</v>
      </c>
    </row>
    <row r="43" spans="1:28">
      <c r="A43" s="26" t="s">
        <v>828</v>
      </c>
    </row>
    <row r="45" spans="1:28">
      <c r="A45" t="s">
        <v>728</v>
      </c>
      <c r="C45" t="s">
        <v>818</v>
      </c>
      <c r="D45" t="s">
        <v>819</v>
      </c>
      <c r="E45" t="s">
        <v>776</v>
      </c>
      <c r="F45" t="s">
        <v>777</v>
      </c>
      <c r="G45" t="s">
        <v>820</v>
      </c>
      <c r="H45" t="s">
        <v>821</v>
      </c>
      <c r="I45" t="s">
        <v>822</v>
      </c>
      <c r="J45" t="s">
        <v>823</v>
      </c>
      <c r="K45" t="s">
        <v>824</v>
      </c>
      <c r="L45" t="s">
        <v>825</v>
      </c>
      <c r="M45" t="s">
        <v>826</v>
      </c>
      <c r="N45" t="s">
        <v>827</v>
      </c>
      <c r="O45" s="26" t="s">
        <v>816</v>
      </c>
      <c r="Q45" t="s">
        <v>818</v>
      </c>
      <c r="R45" t="s">
        <v>819</v>
      </c>
      <c r="S45" t="s">
        <v>776</v>
      </c>
      <c r="T45" t="s">
        <v>777</v>
      </c>
      <c r="U45" t="s">
        <v>820</v>
      </c>
      <c r="V45" t="s">
        <v>821</v>
      </c>
      <c r="W45" t="s">
        <v>822</v>
      </c>
      <c r="X45" t="s">
        <v>823</v>
      </c>
      <c r="Y45" t="s">
        <v>824</v>
      </c>
      <c r="Z45" t="s">
        <v>825</v>
      </c>
      <c r="AA45" t="s">
        <v>826</v>
      </c>
      <c r="AB45" t="s">
        <v>827</v>
      </c>
    </row>
    <row r="46" spans="1:28">
      <c r="A46" t="s">
        <v>793</v>
      </c>
      <c r="C46">
        <v>5.3</v>
      </c>
      <c r="D46">
        <v>5.3</v>
      </c>
      <c r="E46">
        <f t="shared" ref="E46:E51" si="6">F46-D46</f>
        <v>0</v>
      </c>
      <c r="F46">
        <v>5.3</v>
      </c>
      <c r="G46">
        <f t="shared" ref="G46:G51" si="7">H46-F46</f>
        <v>2.8999999999999995</v>
      </c>
      <c r="H46">
        <v>8.1999999999999993</v>
      </c>
      <c r="I46">
        <f t="shared" ref="I46:I51" si="8">J46-H46</f>
        <v>2.7000000000000011</v>
      </c>
      <c r="J46">
        <v>10.9</v>
      </c>
      <c r="K46">
        <f t="shared" ref="K46:K51" si="9">L46-J46</f>
        <v>2.6999999999999993</v>
      </c>
      <c r="L46">
        <v>13.6</v>
      </c>
      <c r="M46">
        <f t="shared" ref="M46:M51" si="10">N46-L46</f>
        <v>4.5000000000000018</v>
      </c>
      <c r="N46">
        <v>18.100000000000001</v>
      </c>
      <c r="O46" t="s">
        <v>830</v>
      </c>
      <c r="Q46" s="55">
        <f t="shared" ref="Q46:Q51" si="11">C46/36*100</f>
        <v>14.722222222222223</v>
      </c>
      <c r="R46" s="55">
        <f t="shared" ref="R46:AB51" si="12">D46/36*100</f>
        <v>14.722222222222223</v>
      </c>
      <c r="S46" s="55">
        <f t="shared" si="12"/>
        <v>0</v>
      </c>
      <c r="T46" s="55">
        <f t="shared" si="12"/>
        <v>14.722222222222223</v>
      </c>
      <c r="U46" s="55">
        <f t="shared" si="12"/>
        <v>8.0555555555555554</v>
      </c>
      <c r="V46" s="55">
        <f t="shared" si="12"/>
        <v>22.777777777777775</v>
      </c>
      <c r="W46" s="55">
        <f t="shared" si="12"/>
        <v>7.5000000000000027</v>
      </c>
      <c r="X46" s="55">
        <f t="shared" si="12"/>
        <v>30.277777777777782</v>
      </c>
      <c r="Y46" s="55">
        <f t="shared" si="12"/>
        <v>7.4999999999999982</v>
      </c>
      <c r="Z46" s="55">
        <f t="shared" si="12"/>
        <v>37.777777777777779</v>
      </c>
      <c r="AA46" s="55">
        <f t="shared" si="12"/>
        <v>12.500000000000005</v>
      </c>
      <c r="AB46" s="55">
        <f t="shared" si="12"/>
        <v>50.277777777777779</v>
      </c>
    </row>
    <row r="47" spans="1:28">
      <c r="A47" t="s">
        <v>794</v>
      </c>
      <c r="C47">
        <v>11.6</v>
      </c>
      <c r="D47">
        <v>11.6</v>
      </c>
      <c r="E47">
        <f t="shared" si="6"/>
        <v>3.0999999999999996</v>
      </c>
      <c r="F47">
        <v>14.7</v>
      </c>
      <c r="G47">
        <f t="shared" si="7"/>
        <v>4.6999999999999993</v>
      </c>
      <c r="H47">
        <v>19.399999999999999</v>
      </c>
      <c r="I47">
        <f t="shared" si="8"/>
        <v>1.7000000000000028</v>
      </c>
      <c r="J47">
        <v>21.1</v>
      </c>
      <c r="K47">
        <f t="shared" si="9"/>
        <v>3.6999999999999993</v>
      </c>
      <c r="L47">
        <v>24.8</v>
      </c>
      <c r="M47">
        <f t="shared" si="10"/>
        <v>4.3000000000000007</v>
      </c>
      <c r="N47">
        <v>29.1</v>
      </c>
      <c r="Q47" s="55">
        <f t="shared" si="11"/>
        <v>32.222222222222221</v>
      </c>
      <c r="R47" s="55">
        <f t="shared" si="12"/>
        <v>32.222222222222221</v>
      </c>
      <c r="S47" s="55">
        <f t="shared" si="12"/>
        <v>8.6111111111111089</v>
      </c>
      <c r="T47" s="55">
        <f t="shared" si="12"/>
        <v>40.833333333333336</v>
      </c>
      <c r="U47" s="55">
        <f t="shared" si="12"/>
        <v>13.055555555555554</v>
      </c>
      <c r="V47" s="55">
        <f t="shared" si="12"/>
        <v>53.888888888888886</v>
      </c>
      <c r="W47" s="55">
        <f t="shared" si="12"/>
        <v>4.7222222222222303</v>
      </c>
      <c r="X47" s="55">
        <f t="shared" si="12"/>
        <v>58.611111111111114</v>
      </c>
      <c r="Y47" s="55">
        <f t="shared" si="12"/>
        <v>10.277777777777777</v>
      </c>
      <c r="Z47" s="55">
        <f t="shared" si="12"/>
        <v>68.888888888888886</v>
      </c>
      <c r="AA47" s="55">
        <f t="shared" si="12"/>
        <v>11.944444444444446</v>
      </c>
      <c r="AB47" s="55">
        <f t="shared" si="12"/>
        <v>80.833333333333329</v>
      </c>
    </row>
    <row r="48" spans="1:28">
      <c r="A48" t="s">
        <v>795</v>
      </c>
      <c r="C48">
        <v>9.6</v>
      </c>
      <c r="D48">
        <v>9.6</v>
      </c>
      <c r="E48">
        <f t="shared" si="6"/>
        <v>2.7000000000000011</v>
      </c>
      <c r="F48">
        <v>12.3</v>
      </c>
      <c r="G48">
        <f t="shared" si="7"/>
        <v>3.6999999999999993</v>
      </c>
      <c r="H48">
        <v>16</v>
      </c>
      <c r="I48">
        <f t="shared" si="8"/>
        <v>3.1999999999999993</v>
      </c>
      <c r="J48">
        <v>19.2</v>
      </c>
      <c r="K48">
        <f t="shared" si="9"/>
        <v>4.1999999999999993</v>
      </c>
      <c r="L48">
        <v>23.4</v>
      </c>
      <c r="M48">
        <f t="shared" si="10"/>
        <v>5.5</v>
      </c>
      <c r="N48">
        <v>28.9</v>
      </c>
      <c r="Q48" s="55">
        <f t="shared" si="11"/>
        <v>26.666666666666668</v>
      </c>
      <c r="R48" s="55">
        <f t="shared" si="12"/>
        <v>26.666666666666668</v>
      </c>
      <c r="S48" s="55">
        <f t="shared" si="12"/>
        <v>7.5000000000000027</v>
      </c>
      <c r="T48" s="55">
        <f t="shared" si="12"/>
        <v>34.166666666666664</v>
      </c>
      <c r="U48" s="55">
        <f t="shared" si="12"/>
        <v>10.277777777777777</v>
      </c>
      <c r="V48" s="55">
        <f t="shared" si="12"/>
        <v>44.444444444444443</v>
      </c>
      <c r="W48" s="55">
        <f t="shared" si="12"/>
        <v>8.8888888888888857</v>
      </c>
      <c r="X48" s="55">
        <f t="shared" si="12"/>
        <v>53.333333333333336</v>
      </c>
      <c r="Y48" s="55">
        <f t="shared" si="12"/>
        <v>11.666666666666664</v>
      </c>
      <c r="Z48" s="55">
        <f t="shared" si="12"/>
        <v>64.999999999999986</v>
      </c>
      <c r="AA48" s="55">
        <f t="shared" si="12"/>
        <v>15.277777777777779</v>
      </c>
      <c r="AB48" s="55">
        <f t="shared" si="12"/>
        <v>80.277777777777771</v>
      </c>
    </row>
    <row r="49" spans="1:28">
      <c r="A49" t="s">
        <v>796</v>
      </c>
      <c r="C49">
        <v>11.1</v>
      </c>
      <c r="D49">
        <v>11.1</v>
      </c>
      <c r="E49">
        <f t="shared" si="6"/>
        <v>3.0999999999999996</v>
      </c>
      <c r="F49">
        <v>14.2</v>
      </c>
      <c r="G49">
        <f t="shared" si="7"/>
        <v>5.1000000000000014</v>
      </c>
      <c r="H49">
        <v>19.3</v>
      </c>
      <c r="I49">
        <f t="shared" si="8"/>
        <v>3.1999999999999993</v>
      </c>
      <c r="J49">
        <v>22.5</v>
      </c>
      <c r="K49">
        <f t="shared" si="9"/>
        <v>3.5</v>
      </c>
      <c r="L49">
        <v>26</v>
      </c>
      <c r="M49">
        <f t="shared" si="10"/>
        <v>5.1000000000000014</v>
      </c>
      <c r="N49">
        <v>31.1</v>
      </c>
      <c r="Q49" s="55">
        <f t="shared" si="11"/>
        <v>30.833333333333336</v>
      </c>
      <c r="R49" s="55">
        <f t="shared" si="12"/>
        <v>30.833333333333336</v>
      </c>
      <c r="S49" s="55">
        <f t="shared" si="12"/>
        <v>8.6111111111111089</v>
      </c>
      <c r="T49" s="55">
        <f t="shared" si="12"/>
        <v>39.444444444444443</v>
      </c>
      <c r="U49" s="55">
        <f t="shared" si="12"/>
        <v>14.166666666666671</v>
      </c>
      <c r="V49" s="55">
        <f t="shared" si="12"/>
        <v>53.611111111111107</v>
      </c>
      <c r="W49" s="55">
        <f t="shared" si="12"/>
        <v>8.8888888888888857</v>
      </c>
      <c r="X49" s="55">
        <f t="shared" si="12"/>
        <v>62.5</v>
      </c>
      <c r="Y49" s="55">
        <f t="shared" si="12"/>
        <v>9.7222222222222232</v>
      </c>
      <c r="Z49" s="55">
        <f t="shared" si="12"/>
        <v>72.222222222222214</v>
      </c>
      <c r="AA49" s="55">
        <f t="shared" si="12"/>
        <v>14.166666666666671</v>
      </c>
      <c r="AB49" s="55">
        <f t="shared" si="12"/>
        <v>86.388888888888886</v>
      </c>
    </row>
    <row r="50" spans="1:28">
      <c r="A50" t="s">
        <v>797</v>
      </c>
      <c r="C50">
        <v>8.1999999999999993</v>
      </c>
      <c r="D50">
        <v>8.1999999999999993</v>
      </c>
      <c r="E50">
        <f t="shared" si="6"/>
        <v>2.2000000000000011</v>
      </c>
      <c r="F50">
        <v>10.4</v>
      </c>
      <c r="G50">
        <f t="shared" si="7"/>
        <v>5.0999999999999996</v>
      </c>
      <c r="H50">
        <v>15.5</v>
      </c>
      <c r="I50">
        <f t="shared" si="8"/>
        <v>2.5</v>
      </c>
      <c r="J50">
        <v>18</v>
      </c>
      <c r="K50">
        <f t="shared" si="9"/>
        <v>4.1999999999999993</v>
      </c>
      <c r="L50">
        <v>22.2</v>
      </c>
      <c r="M50">
        <f t="shared" si="10"/>
        <v>6</v>
      </c>
      <c r="N50">
        <v>28.2</v>
      </c>
      <c r="Q50" s="55">
        <f t="shared" si="11"/>
        <v>22.777777777777775</v>
      </c>
      <c r="R50" s="55">
        <f t="shared" si="12"/>
        <v>22.777777777777775</v>
      </c>
      <c r="S50" s="55">
        <f t="shared" si="12"/>
        <v>6.1111111111111143</v>
      </c>
      <c r="T50" s="55">
        <f t="shared" si="12"/>
        <v>28.888888888888893</v>
      </c>
      <c r="U50" s="55">
        <f t="shared" si="12"/>
        <v>14.166666666666666</v>
      </c>
      <c r="V50" s="55">
        <f t="shared" si="12"/>
        <v>43.055555555555557</v>
      </c>
      <c r="W50" s="55">
        <f t="shared" si="12"/>
        <v>6.9444444444444446</v>
      </c>
      <c r="X50" s="55">
        <f t="shared" si="12"/>
        <v>50</v>
      </c>
      <c r="Y50" s="55">
        <f t="shared" si="12"/>
        <v>11.666666666666664</v>
      </c>
      <c r="Z50" s="55">
        <f t="shared" si="12"/>
        <v>61.666666666666671</v>
      </c>
      <c r="AA50" s="55">
        <f t="shared" si="12"/>
        <v>16.666666666666664</v>
      </c>
      <c r="AB50" s="55">
        <f t="shared" si="12"/>
        <v>78.333333333333329</v>
      </c>
    </row>
    <row r="51" spans="1:28">
      <c r="A51" t="s">
        <v>798</v>
      </c>
      <c r="C51">
        <v>8.1</v>
      </c>
      <c r="D51">
        <v>8.1</v>
      </c>
      <c r="E51">
        <f t="shared" si="6"/>
        <v>1.5999999999999996</v>
      </c>
      <c r="F51">
        <v>9.6999999999999993</v>
      </c>
      <c r="G51">
        <f t="shared" si="7"/>
        <v>3.5</v>
      </c>
      <c r="H51">
        <v>13.2</v>
      </c>
      <c r="I51">
        <f t="shared" si="8"/>
        <v>1.6000000000000014</v>
      </c>
      <c r="J51">
        <v>14.8</v>
      </c>
      <c r="K51">
        <f t="shared" si="9"/>
        <v>3</v>
      </c>
      <c r="L51">
        <v>17.8</v>
      </c>
      <c r="M51">
        <f t="shared" si="10"/>
        <v>3.8999999999999986</v>
      </c>
      <c r="N51">
        <v>21.7</v>
      </c>
      <c r="Q51" s="55">
        <f t="shared" si="11"/>
        <v>22.499999999999996</v>
      </c>
      <c r="R51" s="55">
        <f t="shared" si="12"/>
        <v>22.499999999999996</v>
      </c>
      <c r="S51" s="55">
        <f t="shared" si="12"/>
        <v>4.4444444444444429</v>
      </c>
      <c r="T51" s="55">
        <f t="shared" si="12"/>
        <v>26.944444444444443</v>
      </c>
      <c r="U51" s="55">
        <f t="shared" si="12"/>
        <v>9.7222222222222232</v>
      </c>
      <c r="V51" s="55">
        <f t="shared" si="12"/>
        <v>36.666666666666664</v>
      </c>
      <c r="W51" s="55">
        <f t="shared" si="12"/>
        <v>4.4444444444444482</v>
      </c>
      <c r="X51" s="55">
        <f t="shared" si="12"/>
        <v>41.111111111111114</v>
      </c>
      <c r="Y51" s="55">
        <f t="shared" si="12"/>
        <v>8.3333333333333321</v>
      </c>
      <c r="Z51" s="55">
        <f t="shared" si="12"/>
        <v>49.444444444444443</v>
      </c>
      <c r="AA51" s="55">
        <f t="shared" si="12"/>
        <v>10.83333333333333</v>
      </c>
      <c r="AB51" s="55">
        <f t="shared" si="12"/>
        <v>60.277777777777771</v>
      </c>
    </row>
    <row r="54" spans="1:28">
      <c r="A54" s="26" t="s">
        <v>831</v>
      </c>
    </row>
    <row r="55" spans="1:28">
      <c r="C55" t="s">
        <v>792</v>
      </c>
    </row>
    <row r="56" spans="1:28">
      <c r="C56" t="s">
        <v>832</v>
      </c>
      <c r="E56" t="s">
        <v>835</v>
      </c>
    </row>
    <row r="57" spans="1:28">
      <c r="C57" t="s">
        <v>833</v>
      </c>
      <c r="D57" t="s">
        <v>834</v>
      </c>
      <c r="E57" t="s">
        <v>833</v>
      </c>
      <c r="F57" t="s">
        <v>834</v>
      </c>
    </row>
    <row r="58" spans="1:28">
      <c r="A58" t="s">
        <v>793</v>
      </c>
      <c r="C58">
        <v>47</v>
      </c>
      <c r="D58">
        <v>29</v>
      </c>
      <c r="E58">
        <v>26</v>
      </c>
      <c r="F58">
        <v>17</v>
      </c>
    </row>
    <row r="59" spans="1:28">
      <c r="A59" t="s">
        <v>794</v>
      </c>
      <c r="C59">
        <v>112</v>
      </c>
      <c r="D59">
        <v>101</v>
      </c>
      <c r="E59">
        <v>74</v>
      </c>
      <c r="F59">
        <v>69</v>
      </c>
    </row>
    <row r="60" spans="1:28">
      <c r="A60" t="s">
        <v>795</v>
      </c>
      <c r="C60">
        <v>105</v>
      </c>
      <c r="D60">
        <v>95</v>
      </c>
      <c r="E60">
        <v>69</v>
      </c>
      <c r="F60">
        <v>60</v>
      </c>
    </row>
    <row r="61" spans="1:28">
      <c r="A61" t="s">
        <v>796</v>
      </c>
      <c r="C61">
        <v>124</v>
      </c>
      <c r="D61">
        <v>112</v>
      </c>
      <c r="E61">
        <v>83</v>
      </c>
      <c r="F61">
        <v>76</v>
      </c>
    </row>
    <row r="62" spans="1:28">
      <c r="A62" t="s">
        <v>797</v>
      </c>
      <c r="C62">
        <v>87</v>
      </c>
      <c r="D62">
        <v>78</v>
      </c>
      <c r="E62">
        <v>66</v>
      </c>
      <c r="F62">
        <v>59</v>
      </c>
    </row>
    <row r="63" spans="1:28">
      <c r="A63" t="s">
        <v>798</v>
      </c>
      <c r="C63">
        <v>51</v>
      </c>
      <c r="D63">
        <v>43</v>
      </c>
      <c r="E63">
        <v>34</v>
      </c>
      <c r="F63">
        <v>29</v>
      </c>
    </row>
    <row r="67" spans="1:9" ht="18">
      <c r="A67" s="101" t="s">
        <v>1328</v>
      </c>
    </row>
    <row r="69" spans="1:9">
      <c r="A69" s="26" t="s">
        <v>1329</v>
      </c>
    </row>
    <row r="70" spans="1:9">
      <c r="B70" t="s">
        <v>1256</v>
      </c>
      <c r="E70" t="s">
        <v>1258</v>
      </c>
    </row>
    <row r="71" spans="1:9">
      <c r="A71" t="s">
        <v>1330</v>
      </c>
      <c r="B71" t="s">
        <v>1290</v>
      </c>
      <c r="C71" t="s">
        <v>1331</v>
      </c>
      <c r="D71" t="s">
        <v>1332</v>
      </c>
      <c r="E71" t="s">
        <v>1332</v>
      </c>
    </row>
    <row r="72" spans="1:9">
      <c r="A72" t="s">
        <v>1333</v>
      </c>
      <c r="B72" t="s">
        <v>1334</v>
      </c>
      <c r="C72" t="s">
        <v>1335</v>
      </c>
      <c r="D72" t="s">
        <v>1336</v>
      </c>
      <c r="E72" t="s">
        <v>1336</v>
      </c>
    </row>
    <row r="73" spans="1:9">
      <c r="A73" t="s">
        <v>1337</v>
      </c>
      <c r="B73">
        <v>8333</v>
      </c>
      <c r="C73">
        <v>5555</v>
      </c>
      <c r="D73">
        <v>4167</v>
      </c>
      <c r="E73">
        <v>4167</v>
      </c>
    </row>
    <row r="74" spans="1:9">
      <c r="A74" t="s">
        <v>1338</v>
      </c>
      <c r="B74">
        <v>5</v>
      </c>
      <c r="C74">
        <v>10</v>
      </c>
      <c r="D74">
        <v>10</v>
      </c>
      <c r="E74">
        <v>10</v>
      </c>
    </row>
    <row r="77" spans="1:9">
      <c r="A77" s="26" t="s">
        <v>1339</v>
      </c>
    </row>
    <row r="79" spans="1:9" ht="13.5" thickBot="1">
      <c r="C79" s="69" t="s">
        <v>1256</v>
      </c>
      <c r="D79" s="69"/>
      <c r="E79" s="69"/>
      <c r="F79" s="69"/>
      <c r="G79" s="69"/>
      <c r="H79" s="69"/>
      <c r="I79" s="69" t="s">
        <v>1258</v>
      </c>
    </row>
    <row r="80" spans="1:9" ht="25.5">
      <c r="A80" s="98" t="s">
        <v>1340</v>
      </c>
      <c r="B80" s="98" t="s">
        <v>1341</v>
      </c>
      <c r="C80" t="s">
        <v>1290</v>
      </c>
      <c r="E80" t="s">
        <v>1331</v>
      </c>
      <c r="G80" t="s">
        <v>1332</v>
      </c>
      <c r="I80" t="s">
        <v>1332</v>
      </c>
    </row>
    <row r="81" spans="1:9" ht="13.5" thickBot="1">
      <c r="A81" s="102"/>
      <c r="B81" s="102"/>
      <c r="C81" s="69" t="s">
        <v>1342</v>
      </c>
      <c r="D81" s="69" t="s">
        <v>1343</v>
      </c>
      <c r="E81" s="69" t="s">
        <v>1342</v>
      </c>
      <c r="F81" s="69" t="s">
        <v>1343</v>
      </c>
      <c r="G81" s="69" t="s">
        <v>1342</v>
      </c>
      <c r="H81" s="69" t="s">
        <v>1343</v>
      </c>
      <c r="I81" s="69" t="s">
        <v>1343</v>
      </c>
    </row>
    <row r="82" spans="1:9" ht="25.5">
      <c r="A82" s="98" t="s">
        <v>1344</v>
      </c>
      <c r="B82" s="98" t="s">
        <v>793</v>
      </c>
      <c r="I82">
        <v>11.1</v>
      </c>
    </row>
    <row r="83" spans="1:9" ht="25.5">
      <c r="A83" s="98" t="s">
        <v>1345</v>
      </c>
      <c r="B83" s="98" t="s">
        <v>793</v>
      </c>
      <c r="I83">
        <v>23.6</v>
      </c>
    </row>
    <row r="84" spans="1:9" ht="25.5">
      <c r="A84" s="98" t="s">
        <v>1346</v>
      </c>
      <c r="B84" s="98" t="s">
        <v>793</v>
      </c>
      <c r="C84">
        <v>11.8</v>
      </c>
      <c r="E84">
        <v>9.4</v>
      </c>
      <c r="F84">
        <v>36.299999999999997</v>
      </c>
      <c r="G84">
        <v>7.6</v>
      </c>
      <c r="H84">
        <v>33.299999999999997</v>
      </c>
      <c r="I84">
        <v>15.3</v>
      </c>
    </row>
    <row r="85" spans="1:9" ht="25.5">
      <c r="A85" s="98" t="s">
        <v>1347</v>
      </c>
      <c r="B85" s="98" t="s">
        <v>793</v>
      </c>
      <c r="I85">
        <v>39.6</v>
      </c>
    </row>
    <row r="86" spans="1:9">
      <c r="A86" s="98"/>
      <c r="B86" s="98"/>
    </row>
    <row r="87" spans="1:9" ht="38.25">
      <c r="A87" s="98" t="s">
        <v>1348</v>
      </c>
      <c r="B87" s="98" t="s">
        <v>1349</v>
      </c>
      <c r="I87">
        <v>5.6</v>
      </c>
    </row>
    <row r="88" spans="1:9" ht="38.25">
      <c r="A88" s="98" t="s">
        <v>1350</v>
      </c>
      <c r="B88" s="98" t="s">
        <v>1349</v>
      </c>
      <c r="I88">
        <v>5.6</v>
      </c>
    </row>
    <row r="89" spans="1:9" ht="38.25">
      <c r="A89" s="98" t="s">
        <v>1351</v>
      </c>
      <c r="B89" s="98" t="s">
        <v>1349</v>
      </c>
      <c r="C89">
        <v>4.2</v>
      </c>
      <c r="E89">
        <v>3.6</v>
      </c>
      <c r="F89">
        <v>10.7</v>
      </c>
      <c r="G89">
        <v>6.3</v>
      </c>
      <c r="H89">
        <v>12.5</v>
      </c>
      <c r="I89">
        <v>7.6</v>
      </c>
    </row>
    <row r="90" spans="1:9" ht="38.25">
      <c r="A90" s="98" t="s">
        <v>1352</v>
      </c>
      <c r="B90" s="98" t="s">
        <v>1349</v>
      </c>
      <c r="I90">
        <v>2.8</v>
      </c>
    </row>
    <row r="91" spans="1:9" ht="38.25">
      <c r="A91" s="98" t="s">
        <v>1353</v>
      </c>
      <c r="B91" s="98" t="s">
        <v>1349</v>
      </c>
      <c r="I91">
        <v>12.5</v>
      </c>
    </row>
    <row r="92" spans="1:9" ht="38.25">
      <c r="A92" s="98" t="s">
        <v>1354</v>
      </c>
      <c r="B92" s="98" t="s">
        <v>1349</v>
      </c>
      <c r="C92">
        <v>2.1</v>
      </c>
      <c r="E92">
        <v>1.6</v>
      </c>
      <c r="F92">
        <v>8.6</v>
      </c>
      <c r="G92">
        <v>2.8</v>
      </c>
      <c r="H92">
        <v>6.9</v>
      </c>
      <c r="I92">
        <v>4.9000000000000004</v>
      </c>
    </row>
    <row r="93" spans="1:9" ht="38.25">
      <c r="A93" s="98" t="s">
        <v>1355</v>
      </c>
      <c r="B93" s="98" t="s">
        <v>1349</v>
      </c>
      <c r="I93">
        <v>4.9000000000000004</v>
      </c>
    </row>
    <row r="94" spans="1:9" ht="38.25">
      <c r="A94" s="98" t="s">
        <v>1356</v>
      </c>
      <c r="B94" s="98" t="s">
        <v>1349</v>
      </c>
      <c r="C94">
        <v>4.2</v>
      </c>
      <c r="E94">
        <v>0</v>
      </c>
      <c r="F94">
        <v>9.1999999999999993</v>
      </c>
      <c r="G94">
        <v>0.7</v>
      </c>
      <c r="H94">
        <v>8.3000000000000007</v>
      </c>
      <c r="I94">
        <v>11.1</v>
      </c>
    </row>
    <row r="95" spans="1:9">
      <c r="A95" s="98"/>
      <c r="B95" s="98"/>
    </row>
    <row r="96" spans="1:9" ht="38.25">
      <c r="A96" s="98" t="s">
        <v>1357</v>
      </c>
      <c r="B96" s="98" t="s">
        <v>797</v>
      </c>
      <c r="I96">
        <v>9.6999999999999993</v>
      </c>
    </row>
    <row r="97" spans="1:9" ht="38.25">
      <c r="A97" s="98" t="s">
        <v>1358</v>
      </c>
      <c r="B97" s="98" t="s">
        <v>797</v>
      </c>
      <c r="C97">
        <v>3.1</v>
      </c>
      <c r="E97">
        <v>3.6</v>
      </c>
      <c r="F97">
        <v>10.7</v>
      </c>
      <c r="G97">
        <v>2.8</v>
      </c>
      <c r="H97">
        <v>11.1</v>
      </c>
    </row>
    <row r="98" spans="1:9">
      <c r="A98" s="98"/>
      <c r="B98" s="98"/>
    </row>
    <row r="99" spans="1:9" ht="51.75" thickBot="1">
      <c r="A99" s="102" t="s">
        <v>1359</v>
      </c>
      <c r="B99" s="102" t="s">
        <v>1360</v>
      </c>
      <c r="C99" s="69">
        <v>3.1</v>
      </c>
      <c r="D99" s="69"/>
      <c r="E99" s="69">
        <v>2.2999999999999998</v>
      </c>
      <c r="F99" s="69">
        <v>15.5</v>
      </c>
      <c r="G99" s="69">
        <v>3.5</v>
      </c>
      <c r="H99" s="69">
        <v>13.9</v>
      </c>
      <c r="I99" s="69">
        <v>11.8</v>
      </c>
    </row>
    <row r="100" spans="1:9" ht="13.5" thickBot="1">
      <c r="B100" s="103" t="s">
        <v>1361</v>
      </c>
      <c r="C100" s="103">
        <v>4.8</v>
      </c>
      <c r="D100" s="103"/>
      <c r="E100" s="103">
        <v>4.4000000000000004</v>
      </c>
      <c r="F100" s="103">
        <v>15.2</v>
      </c>
      <c r="G100" s="103">
        <v>4</v>
      </c>
      <c r="H100" s="103">
        <v>14.3</v>
      </c>
      <c r="I100" s="103">
        <v>11.9</v>
      </c>
    </row>
    <row r="103" spans="1:9">
      <c r="A103" s="26" t="s">
        <v>1362</v>
      </c>
    </row>
    <row r="104" spans="1:9" ht="13.5" thickBot="1">
      <c r="C104" s="69" t="s">
        <v>1256</v>
      </c>
      <c r="D104" s="69"/>
      <c r="E104" s="69"/>
    </row>
    <row r="105" spans="1:9" ht="25.5">
      <c r="A105" s="98" t="s">
        <v>1340</v>
      </c>
      <c r="B105" s="98" t="s">
        <v>1341</v>
      </c>
      <c r="C105" t="s">
        <v>1290</v>
      </c>
      <c r="D105" t="s">
        <v>1331</v>
      </c>
      <c r="E105" t="s">
        <v>1332</v>
      </c>
      <c r="F105" t="s">
        <v>1363</v>
      </c>
    </row>
    <row r="106" spans="1:9" ht="13.5" thickBot="1">
      <c r="A106" s="102"/>
      <c r="B106" s="102"/>
      <c r="C106" s="69" t="s">
        <v>1342</v>
      </c>
      <c r="D106" s="69" t="s">
        <v>1342</v>
      </c>
      <c r="E106" s="69" t="s">
        <v>1342</v>
      </c>
    </row>
    <row r="107" spans="1:9" ht="25.5">
      <c r="A107" s="98" t="s">
        <v>1346</v>
      </c>
      <c r="B107" s="98" t="s">
        <v>793</v>
      </c>
      <c r="C107" s="55">
        <f t="shared" ref="C107:E112" si="13">F107/0.7</f>
        <v>4.2857142857142856</v>
      </c>
      <c r="D107" s="55">
        <f t="shared" si="13"/>
        <v>3.785714285714286</v>
      </c>
      <c r="E107" s="55">
        <f t="shared" si="13"/>
        <v>2.285714285714286</v>
      </c>
      <c r="F107">
        <v>3</v>
      </c>
      <c r="G107">
        <v>2.65</v>
      </c>
      <c r="H107">
        <v>1.6</v>
      </c>
    </row>
    <row r="108" spans="1:9" ht="38.25">
      <c r="A108" s="98" t="s">
        <v>1351</v>
      </c>
      <c r="B108" s="98" t="s">
        <v>1349</v>
      </c>
      <c r="C108" s="55">
        <f t="shared" si="13"/>
        <v>6.5428571428571436</v>
      </c>
      <c r="D108" s="55">
        <f t="shared" si="13"/>
        <v>5.5714285714285721</v>
      </c>
      <c r="E108" s="55">
        <f t="shared" si="13"/>
        <v>3.5000000000000004</v>
      </c>
      <c r="F108">
        <v>4.58</v>
      </c>
      <c r="G108">
        <v>3.9</v>
      </c>
      <c r="H108">
        <v>2.4500000000000002</v>
      </c>
    </row>
    <row r="109" spans="1:9" ht="38.25">
      <c r="A109" s="98" t="s">
        <v>1354</v>
      </c>
      <c r="B109" s="98" t="s">
        <v>1349</v>
      </c>
      <c r="C109" s="55">
        <f t="shared" si="13"/>
        <v>7.1428571428571432</v>
      </c>
      <c r="D109" s="55">
        <f t="shared" si="13"/>
        <v>5.5714285714285721</v>
      </c>
      <c r="E109" s="55">
        <f t="shared" si="13"/>
        <v>4.1428571428571432</v>
      </c>
      <c r="F109">
        <v>5</v>
      </c>
      <c r="G109">
        <v>3.9</v>
      </c>
      <c r="H109">
        <v>2.9</v>
      </c>
    </row>
    <row r="110" spans="1:9" ht="38.25">
      <c r="A110" s="98" t="s">
        <v>1356</v>
      </c>
      <c r="B110" s="98" t="s">
        <v>1349</v>
      </c>
      <c r="C110" s="55">
        <f t="shared" si="13"/>
        <v>6.2857142857142865</v>
      </c>
      <c r="D110" s="55">
        <f t="shared" si="13"/>
        <v>6.0000000000000009</v>
      </c>
      <c r="E110" s="55">
        <f t="shared" si="13"/>
        <v>4.0714285714285721</v>
      </c>
      <c r="F110">
        <v>4.4000000000000004</v>
      </c>
      <c r="G110">
        <v>4.2</v>
      </c>
      <c r="H110">
        <v>2.85</v>
      </c>
    </row>
    <row r="111" spans="1:9" ht="38.25">
      <c r="A111" s="98" t="s">
        <v>1358</v>
      </c>
      <c r="B111" s="98" t="s">
        <v>797</v>
      </c>
      <c r="C111" s="55">
        <f t="shared" si="13"/>
        <v>5.6428571428571432</v>
      </c>
      <c r="D111" s="55">
        <f t="shared" si="13"/>
        <v>4.5714285714285721</v>
      </c>
      <c r="E111" s="55">
        <f t="shared" si="13"/>
        <v>3.1142857142857148</v>
      </c>
      <c r="F111">
        <v>3.95</v>
      </c>
      <c r="G111">
        <v>3.2</v>
      </c>
      <c r="H111">
        <v>2.1800000000000002</v>
      </c>
    </row>
    <row r="112" spans="1:9" ht="51.75" thickBot="1">
      <c r="A112" s="102" t="s">
        <v>1359</v>
      </c>
      <c r="B112" s="102" t="s">
        <v>1360</v>
      </c>
      <c r="C112" s="104">
        <f t="shared" si="13"/>
        <v>5</v>
      </c>
      <c r="D112" s="104">
        <f t="shared" si="13"/>
        <v>4.2857142857142856</v>
      </c>
      <c r="E112" s="104">
        <f t="shared" si="13"/>
        <v>2.8571428571428572</v>
      </c>
      <c r="F112">
        <v>3.5</v>
      </c>
      <c r="G112">
        <v>3</v>
      </c>
      <c r="H112">
        <v>2</v>
      </c>
    </row>
    <row r="114" spans="1:12">
      <c r="A114" s="105" t="s">
        <v>1364</v>
      </c>
      <c r="B114" s="105" t="s">
        <v>1361</v>
      </c>
      <c r="C114" s="106">
        <f>SUM(C107:C112)/6</f>
        <v>5.8166666666666673</v>
      </c>
      <c r="D114" s="106">
        <f>SUM(D107:D112)/6</f>
        <v>4.9642857142857144</v>
      </c>
      <c r="E114" s="106">
        <f>SUM(E107:E112)/6</f>
        <v>3.3285714285714292</v>
      </c>
    </row>
    <row r="118" spans="1:12">
      <c r="A118" s="26" t="s">
        <v>1366</v>
      </c>
    </row>
    <row r="119" spans="1:12" ht="13.5" thickBot="1">
      <c r="C119" s="69" t="s">
        <v>1256</v>
      </c>
      <c r="D119" s="69"/>
      <c r="E119" s="69"/>
      <c r="F119" s="69"/>
      <c r="G119" s="69"/>
    </row>
    <row r="120" spans="1:12" ht="25.5">
      <c r="A120" s="98" t="s">
        <v>1340</v>
      </c>
      <c r="B120" s="98" t="s">
        <v>1341</v>
      </c>
      <c r="C120" t="s">
        <v>1290</v>
      </c>
      <c r="D120" t="s">
        <v>1331</v>
      </c>
      <c r="F120" t="s">
        <v>1332</v>
      </c>
      <c r="H120" t="s">
        <v>1365</v>
      </c>
    </row>
    <row r="121" spans="1:12" ht="13.5" thickBot="1">
      <c r="A121" s="102"/>
      <c r="B121" s="102"/>
      <c r="C121" s="69" t="s">
        <v>1342</v>
      </c>
      <c r="D121" s="69" t="s">
        <v>1342</v>
      </c>
      <c r="E121" s="69" t="s">
        <v>1343</v>
      </c>
      <c r="F121" s="69" t="s">
        <v>1342</v>
      </c>
      <c r="G121" s="107" t="s">
        <v>1343</v>
      </c>
    </row>
    <row r="122" spans="1:12" ht="25.5">
      <c r="A122" s="98" t="s">
        <v>1346</v>
      </c>
      <c r="B122" s="98" t="s">
        <v>793</v>
      </c>
      <c r="C122" s="55">
        <f t="shared" ref="C122:C127" si="14">(H122/4.95)*10</f>
        <v>2.5252525252525255</v>
      </c>
      <c r="D122" s="55">
        <f t="shared" ref="D122:G127" si="15">(I122/4.95)*10</f>
        <v>2.2222222222222223</v>
      </c>
      <c r="E122" s="55">
        <f t="shared" si="15"/>
        <v>5.9595959595959602</v>
      </c>
      <c r="F122" s="55">
        <f t="shared" si="15"/>
        <v>1.4141414141414141</v>
      </c>
      <c r="G122" s="55">
        <f t="shared" si="15"/>
        <v>5.0505050505050511</v>
      </c>
      <c r="H122">
        <v>1.25</v>
      </c>
      <c r="I122">
        <v>1.1000000000000001</v>
      </c>
      <c r="J122">
        <v>2.95</v>
      </c>
      <c r="K122">
        <v>0.7</v>
      </c>
      <c r="L122">
        <v>2.5</v>
      </c>
    </row>
    <row r="123" spans="1:12" ht="38.25">
      <c r="A123" s="98" t="s">
        <v>1351</v>
      </c>
      <c r="B123" s="98" t="s">
        <v>1349</v>
      </c>
      <c r="C123" s="55">
        <f t="shared" si="14"/>
        <v>4.4444444444444446</v>
      </c>
      <c r="D123" s="55">
        <f t="shared" si="15"/>
        <v>4.0404040404040407</v>
      </c>
      <c r="E123" s="55">
        <f t="shared" si="15"/>
        <v>8.6868686868686869</v>
      </c>
      <c r="F123" s="55">
        <f t="shared" si="15"/>
        <v>2.7272727272727275</v>
      </c>
      <c r="G123" s="55">
        <f t="shared" si="15"/>
        <v>8.0808080808080813</v>
      </c>
      <c r="H123">
        <v>2.2000000000000002</v>
      </c>
      <c r="I123">
        <v>2</v>
      </c>
      <c r="J123">
        <v>4.3</v>
      </c>
      <c r="K123">
        <v>1.35</v>
      </c>
      <c r="L123">
        <v>4</v>
      </c>
    </row>
    <row r="124" spans="1:12" ht="38.25">
      <c r="A124" s="98" t="s">
        <v>1354</v>
      </c>
      <c r="B124" s="98" t="s">
        <v>1349</v>
      </c>
      <c r="C124" s="55">
        <f t="shared" si="14"/>
        <v>4.808080808080808</v>
      </c>
      <c r="D124" s="55">
        <f t="shared" si="15"/>
        <v>4.2020202020202015</v>
      </c>
      <c r="E124" s="55">
        <f t="shared" si="15"/>
        <v>8.6868686868686869</v>
      </c>
      <c r="F124" s="55">
        <f t="shared" si="15"/>
        <v>3.2323232323232327</v>
      </c>
      <c r="G124" s="55">
        <f t="shared" si="15"/>
        <v>8.0808080808080813</v>
      </c>
      <c r="H124">
        <v>2.38</v>
      </c>
      <c r="I124">
        <v>2.08</v>
      </c>
      <c r="J124">
        <v>4.3</v>
      </c>
      <c r="K124">
        <v>1.6</v>
      </c>
      <c r="L124">
        <v>4</v>
      </c>
    </row>
    <row r="125" spans="1:12" ht="38.25">
      <c r="A125" s="98" t="s">
        <v>1356</v>
      </c>
      <c r="B125" s="98" t="s">
        <v>1349</v>
      </c>
      <c r="C125" s="55">
        <f t="shared" si="14"/>
        <v>4.4444444444444446</v>
      </c>
      <c r="D125" s="55">
        <f t="shared" si="15"/>
        <v>4.545454545454545</v>
      </c>
      <c r="E125" s="55">
        <f t="shared" si="15"/>
        <v>9.2929292929292924</v>
      </c>
      <c r="F125" s="55">
        <f t="shared" si="15"/>
        <v>3.0303030303030303</v>
      </c>
      <c r="G125" s="55">
        <f t="shared" si="15"/>
        <v>8.6868686868686869</v>
      </c>
      <c r="H125">
        <v>2.2000000000000002</v>
      </c>
      <c r="I125">
        <v>2.25</v>
      </c>
      <c r="J125">
        <v>4.5999999999999996</v>
      </c>
      <c r="K125">
        <v>1.5</v>
      </c>
      <c r="L125">
        <v>4.3</v>
      </c>
    </row>
    <row r="126" spans="1:12" ht="38.25">
      <c r="A126" s="98" t="s">
        <v>1358</v>
      </c>
      <c r="B126" s="98" t="s">
        <v>797</v>
      </c>
      <c r="C126" s="55">
        <f t="shared" si="14"/>
        <v>3.6363636363636367</v>
      </c>
      <c r="D126" s="55">
        <f t="shared" si="15"/>
        <v>3.2323232323232327</v>
      </c>
      <c r="E126" s="55">
        <f t="shared" si="15"/>
        <v>7.6767676767676765</v>
      </c>
      <c r="F126" s="55">
        <f t="shared" si="15"/>
        <v>2.3232323232323231</v>
      </c>
      <c r="G126" s="55">
        <f t="shared" si="15"/>
        <v>7.7777777777777777</v>
      </c>
      <c r="H126">
        <v>1.8</v>
      </c>
      <c r="I126">
        <v>1.6</v>
      </c>
      <c r="J126">
        <v>3.8</v>
      </c>
      <c r="K126">
        <v>1.1499999999999999</v>
      </c>
      <c r="L126">
        <v>3.85</v>
      </c>
    </row>
    <row r="127" spans="1:12" ht="51.75" thickBot="1">
      <c r="A127" s="102" t="s">
        <v>1359</v>
      </c>
      <c r="B127" s="102" t="s">
        <v>1360</v>
      </c>
      <c r="C127" s="55">
        <f t="shared" si="14"/>
        <v>3.4343434343434343</v>
      </c>
      <c r="D127" s="55">
        <f t="shared" si="15"/>
        <v>3.333333333333333</v>
      </c>
      <c r="E127" s="55">
        <f t="shared" si="15"/>
        <v>6.0606060606060606</v>
      </c>
      <c r="F127" s="55">
        <f t="shared" si="15"/>
        <v>2.3232323232323231</v>
      </c>
      <c r="G127" s="55">
        <f t="shared" si="15"/>
        <v>5.9595959595959602</v>
      </c>
      <c r="H127">
        <v>1.7</v>
      </c>
      <c r="I127">
        <v>1.65</v>
      </c>
      <c r="J127">
        <v>3</v>
      </c>
      <c r="K127">
        <v>1.1499999999999999</v>
      </c>
      <c r="L127">
        <v>2.95</v>
      </c>
    </row>
    <row r="129" spans="1:7">
      <c r="A129" s="105" t="s">
        <v>1367</v>
      </c>
      <c r="B129" s="105" t="s">
        <v>1361</v>
      </c>
      <c r="C129" s="106">
        <f>SUM(C122:C127)/6</f>
        <v>3.8821548821548824</v>
      </c>
      <c r="D129" s="106">
        <f>SUM(D122:D127)/6</f>
        <v>3.5959595959595956</v>
      </c>
      <c r="E129" s="106">
        <f>SUM(E122:E127)/6</f>
        <v>7.7272727272727275</v>
      </c>
      <c r="F129" s="106">
        <f>SUM(F122:F127)/6</f>
        <v>2.5084175084175087</v>
      </c>
      <c r="G129" s="106">
        <f>SUM(G122:G127)/6</f>
        <v>7.2727272727272725</v>
      </c>
    </row>
    <row r="133" spans="1:7">
      <c r="A133" s="26" t="s">
        <v>1368</v>
      </c>
    </row>
    <row r="134" spans="1:7" ht="13.5" thickBot="1">
      <c r="C134" s="69"/>
      <c r="D134" s="69"/>
      <c r="E134" s="46"/>
      <c r="F134" s="46"/>
    </row>
    <row r="135" spans="1:7">
      <c r="A135" s="98" t="s">
        <v>1340</v>
      </c>
      <c r="B135" s="98" t="s">
        <v>1371</v>
      </c>
      <c r="C135" t="s">
        <v>1369</v>
      </c>
      <c r="D135" t="s">
        <v>1370</v>
      </c>
      <c r="E135" s="46"/>
      <c r="F135" s="46"/>
    </row>
    <row r="136" spans="1:7" ht="13.5" thickBot="1">
      <c r="A136" s="102"/>
      <c r="B136" s="102"/>
      <c r="C136" s="69" t="s">
        <v>1342</v>
      </c>
      <c r="D136" s="69" t="s">
        <v>1343</v>
      </c>
      <c r="E136" s="46"/>
      <c r="F136" s="46"/>
    </row>
    <row r="137" spans="1:7" ht="25.5">
      <c r="A137" s="98" t="s">
        <v>1346</v>
      </c>
      <c r="B137" s="98" t="s">
        <v>793</v>
      </c>
      <c r="C137" s="55">
        <v>7</v>
      </c>
      <c r="D137" s="55">
        <v>18</v>
      </c>
      <c r="E137" s="55"/>
      <c r="F137" s="55"/>
    </row>
    <row r="138" spans="1:7" ht="38.25">
      <c r="A138" s="98" t="s">
        <v>1351</v>
      </c>
      <c r="B138" s="98" t="s">
        <v>1349</v>
      </c>
      <c r="C138" s="55">
        <v>23</v>
      </c>
      <c r="D138" s="55">
        <v>41</v>
      </c>
      <c r="E138" s="55"/>
      <c r="F138" s="55"/>
    </row>
    <row r="139" spans="1:7" ht="38.25">
      <c r="A139" s="98" t="s">
        <v>1354</v>
      </c>
      <c r="B139" s="98" t="s">
        <v>1349</v>
      </c>
      <c r="C139" s="55">
        <v>34</v>
      </c>
      <c r="D139" s="55">
        <v>30</v>
      </c>
      <c r="E139" s="55"/>
      <c r="F139" s="55"/>
    </row>
    <row r="140" spans="1:7" ht="38.25">
      <c r="A140" s="98" t="s">
        <v>1356</v>
      </c>
      <c r="B140" s="98" t="s">
        <v>1349</v>
      </c>
      <c r="C140" s="55">
        <v>24</v>
      </c>
      <c r="D140" s="55">
        <v>34</v>
      </c>
      <c r="E140" s="55"/>
      <c r="F140" s="55"/>
    </row>
    <row r="141" spans="1:7" ht="38.25">
      <c r="A141" s="98" t="s">
        <v>1358</v>
      </c>
      <c r="B141" s="98" t="s">
        <v>797</v>
      </c>
      <c r="C141" s="55">
        <v>16</v>
      </c>
      <c r="D141" s="55">
        <v>27</v>
      </c>
      <c r="E141" s="55"/>
      <c r="F141" s="55"/>
    </row>
    <row r="142" spans="1:7" ht="51.75" thickBot="1">
      <c r="A142" s="102" t="s">
        <v>1359</v>
      </c>
      <c r="B142" s="102" t="s">
        <v>1360</v>
      </c>
      <c r="C142" s="104">
        <v>18</v>
      </c>
      <c r="D142" s="104">
        <v>20</v>
      </c>
      <c r="E142" s="55"/>
      <c r="F142" s="55"/>
    </row>
    <row r="144" spans="1:7" ht="26.25" thickBot="1">
      <c r="A144" s="69"/>
      <c r="B144" s="108" t="s">
        <v>1372</v>
      </c>
      <c r="C144" s="109">
        <f>SUM(C137:C142)/6</f>
        <v>20.333333333333332</v>
      </c>
      <c r="D144" s="109">
        <f>SUM(D137:D142)/6</f>
        <v>28.333333333333332</v>
      </c>
    </row>
    <row r="148" spans="1:4">
      <c r="A148" t="s">
        <v>1373</v>
      </c>
    </row>
    <row r="149" spans="1:4">
      <c r="B149" t="s">
        <v>1374</v>
      </c>
    </row>
    <row r="150" spans="1:4">
      <c r="A150" t="s">
        <v>1178</v>
      </c>
      <c r="B150" t="s">
        <v>1290</v>
      </c>
      <c r="C150" t="s">
        <v>1331</v>
      </c>
      <c r="D150" t="s">
        <v>1332</v>
      </c>
    </row>
    <row r="151" spans="1:4">
      <c r="A151">
        <v>6</v>
      </c>
      <c r="B151">
        <v>165500</v>
      </c>
    </row>
    <row r="152" spans="1:4">
      <c r="A152">
        <v>7</v>
      </c>
      <c r="B152">
        <f>2.9*50000</f>
        <v>145000</v>
      </c>
    </row>
    <row r="153" spans="1:4">
      <c r="A153">
        <v>8</v>
      </c>
      <c r="B153">
        <v>100000</v>
      </c>
    </row>
    <row r="154" spans="1:4">
      <c r="A154">
        <v>9</v>
      </c>
      <c r="B154">
        <f>1.25*50000</f>
        <v>62500</v>
      </c>
    </row>
    <row r="155" spans="1:4">
      <c r="A155">
        <v>10</v>
      </c>
      <c r="B155">
        <f>0.95*50000</f>
        <v>47500</v>
      </c>
    </row>
    <row r="156" spans="1:4">
      <c r="A156" t="s">
        <v>1375</v>
      </c>
      <c r="B156">
        <v>253000</v>
      </c>
      <c r="C156">
        <v>206000</v>
      </c>
      <c r="D156">
        <v>187000</v>
      </c>
    </row>
    <row r="157" spans="1:4">
      <c r="A157" t="s">
        <v>1376</v>
      </c>
      <c r="B157">
        <v>210000</v>
      </c>
      <c r="C157">
        <f>3.45*50000</f>
        <v>172500</v>
      </c>
      <c r="D157">
        <v>149000</v>
      </c>
    </row>
    <row r="158" spans="1:4">
      <c r="A158">
        <v>12</v>
      </c>
      <c r="B158">
        <f>1.95*50000</f>
        <v>97500</v>
      </c>
      <c r="C158">
        <f>1.9*50000</f>
        <v>95000</v>
      </c>
      <c r="D158">
        <f>1.55*50000</f>
        <v>77500</v>
      </c>
    </row>
    <row r="159" spans="1:4">
      <c r="A159">
        <v>13</v>
      </c>
      <c r="B159">
        <f>1.2*50000</f>
        <v>60000</v>
      </c>
      <c r="C159">
        <f>1.15*50000</f>
        <v>57499.999999999993</v>
      </c>
      <c r="D159">
        <f>1.1*50000</f>
        <v>55000.000000000007</v>
      </c>
    </row>
    <row r="160" spans="1:4">
      <c r="A160">
        <v>14</v>
      </c>
      <c r="B160">
        <v>46000</v>
      </c>
      <c r="C160">
        <v>42000</v>
      </c>
      <c r="D160">
        <v>41000</v>
      </c>
    </row>
    <row r="165" spans="1:5">
      <c r="A165" s="26" t="s">
        <v>1377</v>
      </c>
    </row>
    <row r="167" spans="1:5">
      <c r="C167" t="s">
        <v>1256</v>
      </c>
      <c r="E167" t="s">
        <v>1258</v>
      </c>
    </row>
    <row r="168" spans="1:5" ht="25.5">
      <c r="A168" s="98" t="s">
        <v>1340</v>
      </c>
      <c r="B168" s="98" t="s">
        <v>1341</v>
      </c>
      <c r="C168" t="s">
        <v>1378</v>
      </c>
      <c r="D168" t="s">
        <v>1332</v>
      </c>
      <c r="E168" t="s">
        <v>1332</v>
      </c>
    </row>
    <row r="169" spans="1:5" ht="13.5" thickBot="1">
      <c r="A169" s="102"/>
      <c r="B169" s="102"/>
    </row>
    <row r="170" spans="1:5" ht="25.5">
      <c r="A170" s="98" t="s">
        <v>1344</v>
      </c>
      <c r="B170" s="98" t="s">
        <v>793</v>
      </c>
      <c r="E170">
        <v>72</v>
      </c>
    </row>
    <row r="171" spans="1:5" ht="25.5">
      <c r="A171" s="98" t="s">
        <v>1345</v>
      </c>
      <c r="B171" s="98" t="s">
        <v>793</v>
      </c>
      <c r="E171">
        <v>83</v>
      </c>
    </row>
    <row r="172" spans="1:5" ht="25.5">
      <c r="A172" s="98" t="s">
        <v>1346</v>
      </c>
      <c r="B172" s="98" t="s">
        <v>793</v>
      </c>
      <c r="C172">
        <v>47</v>
      </c>
      <c r="D172">
        <v>26</v>
      </c>
      <c r="E172">
        <v>48</v>
      </c>
    </row>
    <row r="173" spans="1:5" ht="25.5">
      <c r="A173" s="98" t="s">
        <v>1347</v>
      </c>
      <c r="B173" s="98" t="s">
        <v>793</v>
      </c>
      <c r="E173">
        <v>49</v>
      </c>
    </row>
    <row r="174" spans="1:5">
      <c r="A174" s="98"/>
      <c r="B174" s="98"/>
    </row>
    <row r="175" spans="1:5" ht="38.25">
      <c r="A175" s="98" t="s">
        <v>1348</v>
      </c>
      <c r="B175" s="98" t="s">
        <v>1349</v>
      </c>
      <c r="E175">
        <v>84</v>
      </c>
    </row>
    <row r="176" spans="1:5" ht="38.25">
      <c r="A176" s="98" t="s">
        <v>1350</v>
      </c>
      <c r="B176" s="98" t="s">
        <v>1349</v>
      </c>
      <c r="E176">
        <v>101</v>
      </c>
    </row>
    <row r="177" spans="1:5" ht="38.25">
      <c r="A177" s="98" t="s">
        <v>1351</v>
      </c>
      <c r="B177" s="98" t="s">
        <v>1349</v>
      </c>
      <c r="C177">
        <v>105</v>
      </c>
      <c r="D177">
        <v>69</v>
      </c>
      <c r="E177">
        <v>80</v>
      </c>
    </row>
    <row r="178" spans="1:5" ht="38.25">
      <c r="A178" s="98" t="s">
        <v>1352</v>
      </c>
      <c r="B178" s="98" t="s">
        <v>1349</v>
      </c>
      <c r="E178">
        <v>82</v>
      </c>
    </row>
    <row r="179" spans="1:5" ht="38.25">
      <c r="A179" s="98" t="s">
        <v>1353</v>
      </c>
      <c r="B179" s="98" t="s">
        <v>1349</v>
      </c>
      <c r="E179">
        <v>83</v>
      </c>
    </row>
    <row r="180" spans="1:5" ht="38.25">
      <c r="A180" s="98" t="s">
        <v>1354</v>
      </c>
      <c r="B180" s="98" t="s">
        <v>1349</v>
      </c>
      <c r="C180">
        <v>112</v>
      </c>
      <c r="D180">
        <v>74</v>
      </c>
      <c r="E180">
        <v>99</v>
      </c>
    </row>
    <row r="181" spans="1:5" ht="38.25">
      <c r="A181" s="98" t="s">
        <v>1355</v>
      </c>
      <c r="B181" s="98" t="s">
        <v>1349</v>
      </c>
      <c r="E181">
        <v>81</v>
      </c>
    </row>
    <row r="182" spans="1:5" ht="38.25">
      <c r="A182" s="98" t="s">
        <v>1356</v>
      </c>
      <c r="B182" s="98" t="s">
        <v>1349</v>
      </c>
      <c r="C182">
        <v>124</v>
      </c>
      <c r="D182">
        <v>83</v>
      </c>
      <c r="E182">
        <v>94</v>
      </c>
    </row>
    <row r="183" spans="1:5">
      <c r="A183" s="98"/>
      <c r="B183" s="98"/>
    </row>
    <row r="184" spans="1:5" ht="38.25">
      <c r="A184" s="98" t="s">
        <v>1357</v>
      </c>
      <c r="B184" s="98" t="s">
        <v>797</v>
      </c>
      <c r="E184">
        <v>88</v>
      </c>
    </row>
    <row r="185" spans="1:5" ht="38.25">
      <c r="A185" s="98" t="s">
        <v>1358</v>
      </c>
      <c r="B185" s="98" t="s">
        <v>797</v>
      </c>
      <c r="C185">
        <v>87</v>
      </c>
      <c r="D185">
        <v>66</v>
      </c>
    </row>
    <row r="186" spans="1:5">
      <c r="A186" s="98"/>
      <c r="B186" s="98"/>
    </row>
    <row r="187" spans="1:5" ht="51.75" thickBot="1">
      <c r="A187" s="102" t="s">
        <v>1359</v>
      </c>
      <c r="B187" s="102" t="s">
        <v>1360</v>
      </c>
      <c r="C187">
        <v>51</v>
      </c>
      <c r="D187">
        <v>34</v>
      </c>
      <c r="E187">
        <v>69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baseColWidth="10" defaultRowHeight="12.75"/>
  <cols>
    <col min="1" max="16384" width="11.42578125" style="46"/>
  </cols>
  <sheetData>
    <row r="1" spans="1:8">
      <c r="A1" s="71" t="s">
        <v>1083</v>
      </c>
      <c r="B1" s="57"/>
      <c r="C1" s="57"/>
    </row>
    <row r="2" spans="1:8">
      <c r="A2" s="56"/>
      <c r="B2" s="56"/>
      <c r="C2" s="56"/>
    </row>
    <row r="3" spans="1:8">
      <c r="A3" s="46" t="s">
        <v>1092</v>
      </c>
    </row>
    <row r="5" spans="1:8">
      <c r="A5" s="73" t="s">
        <v>1084</v>
      </c>
      <c r="B5" s="56"/>
      <c r="C5" s="56"/>
    </row>
    <row r="6" spans="1:8">
      <c r="B6" s="46" t="s">
        <v>1085</v>
      </c>
      <c r="E6" s="46" t="s">
        <v>1086</v>
      </c>
    </row>
    <row r="7" spans="1:8">
      <c r="B7" s="46" t="s">
        <v>1087</v>
      </c>
      <c r="C7" s="46" t="s">
        <v>1088</v>
      </c>
      <c r="D7" s="46" t="s">
        <v>1089</v>
      </c>
      <c r="E7" s="46" t="s">
        <v>1087</v>
      </c>
      <c r="F7" s="50" t="s">
        <v>1088</v>
      </c>
      <c r="G7" s="50" t="s">
        <v>1089</v>
      </c>
    </row>
    <row r="8" spans="1:8">
      <c r="A8" s="72">
        <v>34304</v>
      </c>
      <c r="B8" s="46">
        <v>2.25</v>
      </c>
      <c r="C8" s="46">
        <v>44</v>
      </c>
      <c r="D8" s="46">
        <v>1.8</v>
      </c>
      <c r="E8" s="46">
        <v>2.4</v>
      </c>
      <c r="F8" s="50">
        <v>48</v>
      </c>
      <c r="G8" s="46" t="s">
        <v>1090</v>
      </c>
      <c r="H8" s="46" t="s">
        <v>1091</v>
      </c>
    </row>
    <row r="9" spans="1:8">
      <c r="A9" s="72">
        <v>34394</v>
      </c>
      <c r="B9" s="46">
        <v>1.1000000000000001</v>
      </c>
      <c r="C9" s="46">
        <v>44</v>
      </c>
      <c r="E9" s="46">
        <v>2.2000000000000002</v>
      </c>
      <c r="F9" s="50">
        <v>47</v>
      </c>
      <c r="G9" s="46" t="s">
        <v>1090</v>
      </c>
    </row>
    <row r="10" spans="1:8">
      <c r="A10" s="72">
        <v>34486</v>
      </c>
      <c r="B10" s="46">
        <v>0.2</v>
      </c>
      <c r="C10" s="46">
        <v>44</v>
      </c>
      <c r="D10" s="46">
        <v>1.4</v>
      </c>
      <c r="E10" s="46">
        <v>1</v>
      </c>
      <c r="F10" s="50">
        <v>45</v>
      </c>
      <c r="G10" s="46" t="s">
        <v>1090</v>
      </c>
    </row>
    <row r="11" spans="1:8">
      <c r="A11" s="72">
        <v>34700</v>
      </c>
      <c r="B11" s="50">
        <v>0</v>
      </c>
      <c r="E11" s="50">
        <v>0.2</v>
      </c>
      <c r="F11" s="50">
        <v>42</v>
      </c>
      <c r="G11" s="46" t="s">
        <v>1090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A37" sqref="A37:IV37"/>
    </sheetView>
  </sheetViews>
  <sheetFormatPr baseColWidth="10" defaultRowHeight="12.75"/>
  <sheetData>
    <row r="1" spans="1:6">
      <c r="A1" t="s">
        <v>1093</v>
      </c>
    </row>
    <row r="3" spans="1:6">
      <c r="A3" t="s">
        <v>1094</v>
      </c>
    </row>
    <row r="6" spans="1:6">
      <c r="A6" s="26" t="s">
        <v>1095</v>
      </c>
    </row>
    <row r="7" spans="1:6">
      <c r="C7" t="s">
        <v>1101</v>
      </c>
      <c r="E7" t="s">
        <v>1100</v>
      </c>
    </row>
    <row r="8" spans="1:6">
      <c r="A8" s="47" t="s">
        <v>278</v>
      </c>
      <c r="B8" s="47" t="s">
        <v>1096</v>
      </c>
      <c r="C8" s="47" t="s">
        <v>1097</v>
      </c>
      <c r="D8" s="47" t="s">
        <v>1098</v>
      </c>
      <c r="E8" s="47" t="s">
        <v>1097</v>
      </c>
      <c r="F8" s="47" t="s">
        <v>1098</v>
      </c>
    </row>
    <row r="9" spans="1:6">
      <c r="A9" t="s">
        <v>1099</v>
      </c>
      <c r="B9" t="s">
        <v>1102</v>
      </c>
      <c r="C9" t="s">
        <v>1103</v>
      </c>
      <c r="D9" t="s">
        <v>1104</v>
      </c>
      <c r="F9" t="s">
        <v>1105</v>
      </c>
    </row>
    <row r="10" spans="1:6">
      <c r="B10" t="s">
        <v>314</v>
      </c>
      <c r="C10" t="s">
        <v>1106</v>
      </c>
      <c r="D10" t="s">
        <v>1107</v>
      </c>
    </row>
    <row r="11" spans="1:6">
      <c r="B11" t="s">
        <v>315</v>
      </c>
      <c r="C11" t="s">
        <v>1108</v>
      </c>
      <c r="D11" t="s">
        <v>1109</v>
      </c>
    </row>
    <row r="12" spans="1:6">
      <c r="B12" t="s">
        <v>316</v>
      </c>
      <c r="C12" t="s">
        <v>1110</v>
      </c>
      <c r="D12" t="s">
        <v>1111</v>
      </c>
    </row>
    <row r="13" spans="1:6">
      <c r="A13" s="47"/>
      <c r="B13" s="47" t="s">
        <v>329</v>
      </c>
      <c r="C13" s="47" t="s">
        <v>1112</v>
      </c>
      <c r="D13" s="47" t="s">
        <v>1113</v>
      </c>
      <c r="E13" s="47"/>
      <c r="F13" s="47"/>
    </row>
    <row r="14" spans="1:6">
      <c r="A14" t="s">
        <v>762</v>
      </c>
      <c r="B14" t="s">
        <v>1102</v>
      </c>
      <c r="C14" t="s">
        <v>1114</v>
      </c>
      <c r="D14" t="s">
        <v>1104</v>
      </c>
      <c r="F14" t="s">
        <v>1105</v>
      </c>
    </row>
    <row r="15" spans="1:6">
      <c r="B15" t="s">
        <v>314</v>
      </c>
      <c r="C15" t="s">
        <v>1116</v>
      </c>
      <c r="D15" t="s">
        <v>1117</v>
      </c>
    </row>
    <row r="16" spans="1:6">
      <c r="B16" t="s">
        <v>315</v>
      </c>
      <c r="C16" t="s">
        <v>1118</v>
      </c>
      <c r="D16" t="s">
        <v>1119</v>
      </c>
    </row>
    <row r="17" spans="1:6">
      <c r="B17" t="s">
        <v>316</v>
      </c>
      <c r="C17" t="s">
        <v>933</v>
      </c>
      <c r="D17" t="s">
        <v>945</v>
      </c>
    </row>
    <row r="18" spans="1:6">
      <c r="A18" s="47"/>
      <c r="B18" s="47" t="s">
        <v>329</v>
      </c>
      <c r="C18" s="47" t="s">
        <v>879</v>
      </c>
      <c r="D18" s="47" t="s">
        <v>1120</v>
      </c>
      <c r="E18" s="47"/>
      <c r="F18" s="47"/>
    </row>
    <row r="19" spans="1:6">
      <c r="A19" t="s">
        <v>1086</v>
      </c>
      <c r="B19" t="s">
        <v>1102</v>
      </c>
      <c r="C19" t="s">
        <v>1121</v>
      </c>
      <c r="D19" t="s">
        <v>1122</v>
      </c>
      <c r="E19" t="s">
        <v>1131</v>
      </c>
      <c r="F19" t="s">
        <v>1115</v>
      </c>
    </row>
    <row r="20" spans="1:6">
      <c r="B20" t="s">
        <v>314</v>
      </c>
      <c r="C20" t="s">
        <v>914</v>
      </c>
      <c r="D20" t="s">
        <v>1123</v>
      </c>
      <c r="E20" t="s">
        <v>1130</v>
      </c>
    </row>
    <row r="21" spans="1:6">
      <c r="B21" t="s">
        <v>315</v>
      </c>
      <c r="C21" t="s">
        <v>1124</v>
      </c>
      <c r="D21" t="s">
        <v>1125</v>
      </c>
      <c r="E21" t="s">
        <v>1129</v>
      </c>
    </row>
    <row r="22" spans="1:6">
      <c r="B22" t="s">
        <v>316</v>
      </c>
      <c r="C22" t="s">
        <v>918</v>
      </c>
      <c r="D22" t="s">
        <v>1126</v>
      </c>
      <c r="E22">
        <v>35</v>
      </c>
    </row>
    <row r="23" spans="1:6">
      <c r="A23" s="47"/>
      <c r="B23" s="47" t="s">
        <v>329</v>
      </c>
      <c r="C23" s="47" t="s">
        <v>920</v>
      </c>
      <c r="D23" s="47" t="s">
        <v>1127</v>
      </c>
      <c r="E23" s="47" t="s">
        <v>1128</v>
      </c>
      <c r="F23" s="47"/>
    </row>
    <row r="27" spans="1:6">
      <c r="A27" s="26" t="s">
        <v>1132</v>
      </c>
    </row>
    <row r="28" spans="1:6">
      <c r="B28" t="s">
        <v>1137</v>
      </c>
      <c r="E28" t="s">
        <v>1136</v>
      </c>
    </row>
    <row r="29" spans="1:6">
      <c r="A29" t="s">
        <v>1134</v>
      </c>
      <c r="B29" t="s">
        <v>762</v>
      </c>
      <c r="C29" t="s">
        <v>1085</v>
      </c>
      <c r="D29" t="s">
        <v>1086</v>
      </c>
      <c r="E29" t="s">
        <v>1135</v>
      </c>
      <c r="F29" t="s">
        <v>1086</v>
      </c>
    </row>
    <row r="30" spans="1:6">
      <c r="A30" s="47" t="s">
        <v>1133</v>
      </c>
      <c r="B30" s="47"/>
      <c r="C30" s="47"/>
      <c r="D30" s="47"/>
      <c r="E30" s="47"/>
      <c r="F30" s="47"/>
    </row>
    <row r="31" spans="1:6">
      <c r="A31" t="s">
        <v>313</v>
      </c>
      <c r="B31" t="s">
        <v>1138</v>
      </c>
      <c r="C31" t="s">
        <v>1161</v>
      </c>
      <c r="D31" t="s">
        <v>1162</v>
      </c>
      <c r="E31">
        <v>6.1</v>
      </c>
      <c r="F31" t="s">
        <v>1172</v>
      </c>
    </row>
    <row r="32" spans="1:6">
      <c r="A32" t="s">
        <v>314</v>
      </c>
      <c r="B32" t="s">
        <v>1139</v>
      </c>
      <c r="C32" t="s">
        <v>1160</v>
      </c>
      <c r="D32" t="s">
        <v>1163</v>
      </c>
      <c r="E32">
        <v>0.9</v>
      </c>
      <c r="F32">
        <v>0.8</v>
      </c>
    </row>
    <row r="33" spans="1:6">
      <c r="A33" t="s">
        <v>315</v>
      </c>
      <c r="B33" t="s">
        <v>1140</v>
      </c>
      <c r="C33" t="s">
        <v>1159</v>
      </c>
      <c r="D33" t="s">
        <v>1164</v>
      </c>
      <c r="E33">
        <v>2.6</v>
      </c>
      <c r="F33">
        <v>2.9</v>
      </c>
    </row>
    <row r="34" spans="1:6">
      <c r="A34" t="s">
        <v>316</v>
      </c>
      <c r="B34" t="s">
        <v>1141</v>
      </c>
      <c r="C34" t="s">
        <v>1158</v>
      </c>
      <c r="D34" t="s">
        <v>1165</v>
      </c>
      <c r="E34">
        <v>5.8</v>
      </c>
      <c r="F34" t="s">
        <v>1173</v>
      </c>
    </row>
    <row r="35" spans="1:6">
      <c r="A35" t="s">
        <v>329</v>
      </c>
      <c r="B35" t="s">
        <v>1142</v>
      </c>
      <c r="C35" t="s">
        <v>1142</v>
      </c>
      <c r="D35" t="s">
        <v>1142</v>
      </c>
      <c r="E35">
        <v>0.7</v>
      </c>
      <c r="F35" t="s">
        <v>1174</v>
      </c>
    </row>
    <row r="36" spans="1:6">
      <c r="A36" s="35" t="s">
        <v>1171</v>
      </c>
      <c r="B36" s="35"/>
      <c r="C36" s="35"/>
      <c r="D36" s="35"/>
      <c r="E36" s="35"/>
      <c r="F36" s="35"/>
    </row>
    <row r="37" spans="1:6" s="62" customFormat="1">
      <c r="A37" s="62" t="s">
        <v>313</v>
      </c>
      <c r="B37" s="62" t="s">
        <v>1143</v>
      </c>
      <c r="C37" s="62" t="s">
        <v>1157</v>
      </c>
      <c r="D37" s="62" t="s">
        <v>1166</v>
      </c>
      <c r="E37" s="62">
        <v>53</v>
      </c>
    </row>
    <row r="38" spans="1:6">
      <c r="A38" t="s">
        <v>314</v>
      </c>
      <c r="B38" t="s">
        <v>1144</v>
      </c>
      <c r="C38" t="s">
        <v>1156</v>
      </c>
      <c r="D38" t="s">
        <v>1167</v>
      </c>
      <c r="E38">
        <v>8</v>
      </c>
    </row>
    <row r="39" spans="1:6">
      <c r="A39" t="s">
        <v>315</v>
      </c>
      <c r="B39" s="63" t="s">
        <v>1145</v>
      </c>
      <c r="C39" t="s">
        <v>1155</v>
      </c>
      <c r="D39" s="63" t="s">
        <v>1168</v>
      </c>
      <c r="E39">
        <v>22</v>
      </c>
    </row>
    <row r="40" spans="1:6">
      <c r="A40" t="s">
        <v>316</v>
      </c>
      <c r="B40" s="63" t="s">
        <v>1146</v>
      </c>
      <c r="C40" t="s">
        <v>1154</v>
      </c>
      <c r="D40" t="s">
        <v>1169</v>
      </c>
      <c r="E40">
        <v>32</v>
      </c>
    </row>
    <row r="41" spans="1:6">
      <c r="A41" s="47" t="s">
        <v>329</v>
      </c>
      <c r="B41" s="47" t="s">
        <v>1147</v>
      </c>
      <c r="C41" s="47" t="s">
        <v>1147</v>
      </c>
      <c r="D41" s="47" t="s">
        <v>1170</v>
      </c>
      <c r="E41" s="47"/>
      <c r="F41" s="47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2.75"/>
  <cols>
    <col min="1" max="16384" width="11.42578125" style="46"/>
  </cols>
  <sheetData>
    <row r="1" spans="1:3" ht="344.25">
      <c r="A1" s="97" t="s">
        <v>485</v>
      </c>
      <c r="C1" s="57"/>
    </row>
    <row r="2" spans="1:3">
      <c r="C2" s="56"/>
    </row>
    <row r="3" spans="1:3">
      <c r="C3" s="56"/>
    </row>
    <row r="6" spans="1:3">
      <c r="A6" s="57">
        <v>0</v>
      </c>
      <c r="B6" s="57">
        <v>100</v>
      </c>
    </row>
    <row r="7" spans="1:3">
      <c r="A7" s="56">
        <v>1</v>
      </c>
    </row>
    <row r="8" spans="1:3">
      <c r="A8" s="56">
        <v>2</v>
      </c>
      <c r="B8" s="56">
        <f>100-((19.6+22.4+23+29)/4)</f>
        <v>76.5</v>
      </c>
    </row>
    <row r="9" spans="1:3">
      <c r="A9" s="46">
        <v>3</v>
      </c>
      <c r="B9" s="46">
        <f>100-((45.7+41.2+40.2+39.42)/4)</f>
        <v>58.37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workbookViewId="0"/>
  </sheetViews>
  <sheetFormatPr baseColWidth="10" defaultRowHeight="12.75"/>
  <sheetData>
    <row r="1" spans="1:26">
      <c r="A1" t="s">
        <v>1176</v>
      </c>
    </row>
    <row r="3" spans="1:26">
      <c r="B3" s="47"/>
      <c r="C3" s="47" t="s">
        <v>1186</v>
      </c>
      <c r="D3" s="47" t="s">
        <v>1186</v>
      </c>
      <c r="E3" s="47"/>
      <c r="F3" s="47"/>
      <c r="G3" s="47" t="s">
        <v>1198</v>
      </c>
      <c r="H3" s="47"/>
      <c r="I3" s="47"/>
      <c r="J3" s="47"/>
      <c r="K3" s="47"/>
      <c r="L3" s="47"/>
      <c r="M3" s="61" t="s">
        <v>1187</v>
      </c>
      <c r="N3" s="47"/>
      <c r="O3" s="47"/>
      <c r="P3" s="47"/>
      <c r="Q3" s="46"/>
    </row>
    <row r="4" spans="1:26" s="34" customFormat="1" ht="38.25">
      <c r="A4" s="34" t="s">
        <v>1177</v>
      </c>
      <c r="B4" s="34" t="s">
        <v>1178</v>
      </c>
      <c r="C4" s="34" t="s">
        <v>1179</v>
      </c>
      <c r="D4" s="34" t="s">
        <v>1180</v>
      </c>
      <c r="E4" s="34" t="s">
        <v>1181</v>
      </c>
      <c r="F4" s="34" t="s">
        <v>1182</v>
      </c>
      <c r="G4" s="34" t="s">
        <v>1199</v>
      </c>
      <c r="H4" s="34" t="s">
        <v>1200</v>
      </c>
      <c r="I4" s="34" t="s">
        <v>1201</v>
      </c>
      <c r="J4" s="34" t="s">
        <v>1203</v>
      </c>
      <c r="K4" s="34" t="s">
        <v>1202</v>
      </c>
      <c r="L4" s="34" t="s">
        <v>1183</v>
      </c>
      <c r="M4" s="74" t="s">
        <v>1184</v>
      </c>
      <c r="N4" s="34" t="s">
        <v>1185</v>
      </c>
      <c r="O4" s="34" t="s">
        <v>1179</v>
      </c>
      <c r="P4" s="34" t="s">
        <v>1188</v>
      </c>
      <c r="Q4" s="34" t="s">
        <v>1195</v>
      </c>
      <c r="R4" s="34" t="s">
        <v>1189</v>
      </c>
      <c r="S4" s="34" t="s">
        <v>1190</v>
      </c>
      <c r="T4" s="76" t="s">
        <v>1194</v>
      </c>
      <c r="U4" s="34" t="s">
        <v>1196</v>
      </c>
      <c r="V4" s="34" t="s">
        <v>1197</v>
      </c>
      <c r="W4" s="34" t="s">
        <v>428</v>
      </c>
      <c r="X4" s="34" t="s">
        <v>1191</v>
      </c>
      <c r="Y4" s="34" t="s">
        <v>1192</v>
      </c>
      <c r="Z4" s="34" t="s">
        <v>1193</v>
      </c>
    </row>
    <row r="5" spans="1:26">
      <c r="A5">
        <v>1</v>
      </c>
      <c r="B5">
        <v>13</v>
      </c>
      <c r="C5">
        <v>6.4</v>
      </c>
      <c r="D5">
        <v>0.4</v>
      </c>
      <c r="E5">
        <v>24.4</v>
      </c>
      <c r="F5">
        <v>7600</v>
      </c>
      <c r="G5">
        <v>43.4</v>
      </c>
      <c r="H5">
        <v>9.1</v>
      </c>
      <c r="I5">
        <v>3</v>
      </c>
      <c r="J5">
        <v>55.5</v>
      </c>
      <c r="K5">
        <v>4.2699999999999996</v>
      </c>
      <c r="L5">
        <v>800</v>
      </c>
      <c r="M5" s="59">
        <v>7.7</v>
      </c>
      <c r="N5">
        <v>0.4</v>
      </c>
      <c r="O5">
        <v>4.8</v>
      </c>
      <c r="P5">
        <v>0.4</v>
      </c>
      <c r="Q5">
        <f>(PI()*(O5*O5))/4</f>
        <v>18.095573684677209</v>
      </c>
      <c r="R5">
        <v>159.6</v>
      </c>
      <c r="S5">
        <v>2429</v>
      </c>
      <c r="T5" s="62">
        <f>(R5*S5)/1000000</f>
        <v>0.38766839999999997</v>
      </c>
      <c r="U5">
        <f>T5/Q5</f>
        <v>2.1423382687682679E-2</v>
      </c>
      <c r="V5">
        <f>(M5*100)/T5</f>
        <v>1986.2335955161682</v>
      </c>
      <c r="W5">
        <v>381.2</v>
      </c>
      <c r="X5">
        <v>1776</v>
      </c>
      <c r="Y5">
        <v>11.3</v>
      </c>
      <c r="Z5">
        <v>3.07</v>
      </c>
    </row>
    <row r="6" spans="1:26">
      <c r="A6">
        <v>2</v>
      </c>
      <c r="B6">
        <v>16</v>
      </c>
      <c r="C6">
        <v>7.4</v>
      </c>
      <c r="D6">
        <v>0.6</v>
      </c>
      <c r="E6">
        <v>32.700000000000003</v>
      </c>
      <c r="F6">
        <v>7600</v>
      </c>
      <c r="G6">
        <v>65.400000000000006</v>
      </c>
      <c r="H6">
        <v>12.2</v>
      </c>
      <c r="I6">
        <v>3.8</v>
      </c>
      <c r="J6">
        <v>81.400000000000006</v>
      </c>
      <c r="K6">
        <v>5.09</v>
      </c>
      <c r="L6">
        <v>800</v>
      </c>
      <c r="M6" s="59">
        <v>9.4</v>
      </c>
      <c r="N6">
        <v>0.7</v>
      </c>
      <c r="O6">
        <v>6.8</v>
      </c>
      <c r="P6">
        <v>0.8</v>
      </c>
      <c r="Q6">
        <f t="shared" ref="Q6:Q15" si="0">(PI()*(O6*O6))/4</f>
        <v>36.316811075498002</v>
      </c>
      <c r="R6">
        <v>156.9</v>
      </c>
      <c r="S6">
        <v>2359</v>
      </c>
      <c r="T6" s="62">
        <f t="shared" ref="T6:T15" si="1">(R6*S6)/1000000</f>
        <v>0.37012710000000004</v>
      </c>
      <c r="U6">
        <f t="shared" ref="U6:U15" si="2">T6/Q6</f>
        <v>1.0191618951084476E-2</v>
      </c>
      <c r="V6">
        <f t="shared" ref="V6:V15" si="3">(M6*100)/T6</f>
        <v>2539.6681302179709</v>
      </c>
      <c r="W6">
        <v>331.7</v>
      </c>
      <c r="X6">
        <v>1522</v>
      </c>
      <c r="Y6">
        <v>10.8</v>
      </c>
      <c r="Z6">
        <v>2.7</v>
      </c>
    </row>
    <row r="7" spans="1:26">
      <c r="A7">
        <v>3</v>
      </c>
      <c r="B7">
        <v>20</v>
      </c>
      <c r="C7">
        <v>8.1</v>
      </c>
      <c r="D7">
        <v>0.7</v>
      </c>
      <c r="E7">
        <v>30.7</v>
      </c>
      <c r="F7">
        <v>5964</v>
      </c>
      <c r="G7">
        <v>65.900000000000006</v>
      </c>
      <c r="H7">
        <v>1.4</v>
      </c>
      <c r="I7">
        <v>3.4</v>
      </c>
      <c r="J7">
        <v>80.7</v>
      </c>
      <c r="K7">
        <v>4.04</v>
      </c>
      <c r="L7">
        <v>280</v>
      </c>
      <c r="M7" s="59">
        <v>11</v>
      </c>
      <c r="N7">
        <v>0.4</v>
      </c>
      <c r="O7">
        <v>8.3000000000000007</v>
      </c>
      <c r="P7">
        <v>0.7</v>
      </c>
      <c r="Q7">
        <f t="shared" si="0"/>
        <v>54.106079476450226</v>
      </c>
      <c r="R7">
        <v>195.5</v>
      </c>
      <c r="S7">
        <v>3228</v>
      </c>
      <c r="T7" s="62">
        <f t="shared" si="1"/>
        <v>0.63107400000000002</v>
      </c>
      <c r="U7">
        <f t="shared" si="2"/>
        <v>1.1663643089769167E-2</v>
      </c>
      <c r="V7">
        <f t="shared" si="3"/>
        <v>1743.0602433312099</v>
      </c>
      <c r="W7">
        <v>605.20000000000005</v>
      </c>
      <c r="X7">
        <v>1027</v>
      </c>
      <c r="Y7">
        <v>5.5</v>
      </c>
      <c r="Z7">
        <v>2.5</v>
      </c>
    </row>
    <row r="8" spans="1:26">
      <c r="A8">
        <v>4</v>
      </c>
      <c r="B8">
        <v>18</v>
      </c>
      <c r="C8">
        <v>8.4</v>
      </c>
      <c r="D8">
        <v>0.6</v>
      </c>
      <c r="E8">
        <v>60.4</v>
      </c>
      <c r="F8">
        <v>10900</v>
      </c>
      <c r="G8">
        <v>133</v>
      </c>
      <c r="H8">
        <v>22.9</v>
      </c>
      <c r="I8">
        <v>6.5</v>
      </c>
      <c r="J8">
        <v>162.4</v>
      </c>
      <c r="K8">
        <v>9.02</v>
      </c>
      <c r="L8">
        <v>300</v>
      </c>
      <c r="M8" s="59">
        <v>11.9</v>
      </c>
      <c r="N8">
        <v>0.7</v>
      </c>
      <c r="O8">
        <v>8</v>
      </c>
      <c r="P8">
        <v>0.8</v>
      </c>
      <c r="Q8">
        <f t="shared" si="0"/>
        <v>50.26548245743669</v>
      </c>
      <c r="R8">
        <v>216.2</v>
      </c>
      <c r="S8">
        <v>2869</v>
      </c>
      <c r="T8" s="62">
        <f t="shared" si="1"/>
        <v>0.62027779999999988</v>
      </c>
      <c r="U8">
        <f t="shared" si="2"/>
        <v>1.2340034745020753E-2</v>
      </c>
      <c r="V8">
        <f t="shared" si="3"/>
        <v>1918.4952290731674</v>
      </c>
      <c r="W8">
        <v>601.79999999999995</v>
      </c>
      <c r="X8">
        <v>1067</v>
      </c>
      <c r="Y8">
        <v>5</v>
      </c>
      <c r="Z8">
        <v>2.4900000000000002</v>
      </c>
    </row>
    <row r="9" spans="1:26">
      <c r="A9">
        <v>5</v>
      </c>
      <c r="B9">
        <v>18</v>
      </c>
      <c r="C9">
        <v>4.7</v>
      </c>
      <c r="D9">
        <v>0.5</v>
      </c>
      <c r="E9">
        <v>28.6</v>
      </c>
      <c r="F9">
        <v>16500</v>
      </c>
      <c r="G9">
        <v>39.6</v>
      </c>
      <c r="H9">
        <v>10.8</v>
      </c>
      <c r="I9">
        <v>4.0999999999999996</v>
      </c>
      <c r="J9">
        <v>54.5</v>
      </c>
      <c r="K9">
        <v>3.03</v>
      </c>
      <c r="L9">
        <v>200</v>
      </c>
      <c r="M9" s="59">
        <v>8.8000000000000007</v>
      </c>
      <c r="N9">
        <v>0.7</v>
      </c>
      <c r="O9">
        <v>5.6</v>
      </c>
      <c r="P9">
        <v>0.6</v>
      </c>
      <c r="Q9">
        <f t="shared" si="0"/>
        <v>24.630086404143974</v>
      </c>
      <c r="R9">
        <v>175.2</v>
      </c>
      <c r="S9">
        <v>1914</v>
      </c>
      <c r="T9" s="62">
        <f t="shared" si="1"/>
        <v>0.33533279999999999</v>
      </c>
      <c r="U9">
        <f t="shared" si="2"/>
        <v>1.3614763444093349E-2</v>
      </c>
      <c r="V9">
        <f t="shared" si="3"/>
        <v>2624.2586469322423</v>
      </c>
      <c r="W9">
        <v>346.3</v>
      </c>
      <c r="X9">
        <v>1353</v>
      </c>
      <c r="Y9">
        <v>7.5</v>
      </c>
      <c r="Z9">
        <v>2.4300000000000002</v>
      </c>
    </row>
    <row r="10" spans="1:26">
      <c r="A10">
        <v>6</v>
      </c>
      <c r="B10">
        <v>9</v>
      </c>
      <c r="C10">
        <v>4</v>
      </c>
      <c r="D10">
        <v>0.3</v>
      </c>
      <c r="E10">
        <v>25.1</v>
      </c>
      <c r="F10">
        <v>20000</v>
      </c>
      <c r="G10">
        <v>29.5</v>
      </c>
      <c r="H10">
        <v>8.1</v>
      </c>
      <c r="I10">
        <v>6.4</v>
      </c>
      <c r="J10">
        <v>44</v>
      </c>
      <c r="K10">
        <v>4.8899999999999997</v>
      </c>
      <c r="L10">
        <v>95</v>
      </c>
      <c r="M10" s="59">
        <v>5.4</v>
      </c>
      <c r="N10">
        <v>0.3</v>
      </c>
      <c r="O10">
        <v>3.8</v>
      </c>
      <c r="P10">
        <v>0.3</v>
      </c>
      <c r="Q10">
        <f t="shared" si="0"/>
        <v>11.341149479459153</v>
      </c>
      <c r="R10">
        <v>102</v>
      </c>
      <c r="S10">
        <v>1812</v>
      </c>
      <c r="T10" s="62">
        <f t="shared" si="1"/>
        <v>0.18482399999999999</v>
      </c>
      <c r="U10">
        <f t="shared" si="2"/>
        <v>1.6296760776740422E-2</v>
      </c>
      <c r="V10">
        <f t="shared" si="3"/>
        <v>2921.6984807167901</v>
      </c>
      <c r="W10">
        <v>182.4</v>
      </c>
      <c r="X10">
        <v>1341</v>
      </c>
      <c r="Y10">
        <v>13.3</v>
      </c>
      <c r="Z10">
        <v>2.21</v>
      </c>
    </row>
    <row r="11" spans="1:26">
      <c r="A11">
        <v>7</v>
      </c>
      <c r="B11">
        <v>5</v>
      </c>
      <c r="C11">
        <v>1.9</v>
      </c>
      <c r="D11">
        <v>0.4</v>
      </c>
      <c r="E11">
        <v>10.5</v>
      </c>
      <c r="F11">
        <v>46150</v>
      </c>
      <c r="G11">
        <v>8.4</v>
      </c>
      <c r="H11">
        <v>3.8</v>
      </c>
      <c r="I11">
        <v>2.1</v>
      </c>
      <c r="J11">
        <v>14.3</v>
      </c>
      <c r="K11">
        <v>2.86</v>
      </c>
      <c r="L11">
        <v>250</v>
      </c>
      <c r="M11" s="59">
        <v>3.6</v>
      </c>
      <c r="N11">
        <v>0.1</v>
      </c>
      <c r="O11">
        <v>2</v>
      </c>
      <c r="P11">
        <v>0.1</v>
      </c>
      <c r="Q11">
        <f t="shared" si="0"/>
        <v>3.1415926535897931</v>
      </c>
      <c r="R11">
        <v>79.400000000000006</v>
      </c>
      <c r="S11">
        <v>796</v>
      </c>
      <c r="T11" s="62">
        <f t="shared" si="1"/>
        <v>6.3202400000000006E-2</v>
      </c>
      <c r="U11">
        <f t="shared" si="2"/>
        <v>2.0117948750542413E-2</v>
      </c>
      <c r="V11">
        <f t="shared" si="3"/>
        <v>5695.9862283710736</v>
      </c>
      <c r="W11">
        <v>62.9</v>
      </c>
      <c r="X11">
        <v>1423</v>
      </c>
      <c r="Y11">
        <v>18.2</v>
      </c>
      <c r="Z11">
        <v>2.56</v>
      </c>
    </row>
    <row r="12" spans="1:26">
      <c r="A12">
        <v>8</v>
      </c>
      <c r="B12">
        <v>8</v>
      </c>
      <c r="C12">
        <v>4.4000000000000004</v>
      </c>
      <c r="D12">
        <v>0.2</v>
      </c>
      <c r="E12">
        <v>70.2</v>
      </c>
      <c r="F12">
        <v>26143</v>
      </c>
      <c r="G12">
        <v>52.3</v>
      </c>
      <c r="H12">
        <v>15.7</v>
      </c>
      <c r="I12">
        <v>5.2</v>
      </c>
      <c r="J12">
        <v>73.2</v>
      </c>
      <c r="K12">
        <v>9.15</v>
      </c>
      <c r="L12">
        <v>450</v>
      </c>
      <c r="M12" s="59">
        <v>4.4000000000000004</v>
      </c>
      <c r="N12">
        <v>0.1</v>
      </c>
      <c r="O12">
        <v>3</v>
      </c>
      <c r="P12">
        <v>0.2</v>
      </c>
      <c r="Q12">
        <f t="shared" si="0"/>
        <v>7.0685834705770345</v>
      </c>
      <c r="R12">
        <v>112.4</v>
      </c>
      <c r="S12">
        <v>1104</v>
      </c>
      <c r="T12" s="62">
        <f t="shared" si="1"/>
        <v>0.12408960000000001</v>
      </c>
      <c r="U12">
        <f t="shared" si="2"/>
        <v>1.7555087312263164E-2</v>
      </c>
      <c r="V12">
        <f t="shared" si="3"/>
        <v>3545.8249522925371</v>
      </c>
      <c r="W12">
        <v>124.4</v>
      </c>
      <c r="X12">
        <v>1536</v>
      </c>
      <c r="Y12">
        <v>13.6</v>
      </c>
      <c r="Z12">
        <v>2.35</v>
      </c>
    </row>
    <row r="13" spans="1:26">
      <c r="A13">
        <v>9</v>
      </c>
      <c r="B13">
        <v>15</v>
      </c>
      <c r="C13">
        <v>9.1999999999999993</v>
      </c>
      <c r="D13">
        <v>0.8</v>
      </c>
      <c r="E13">
        <v>45.2</v>
      </c>
      <c r="F13">
        <v>6800</v>
      </c>
      <c r="G13">
        <v>106.4</v>
      </c>
      <c r="H13">
        <v>17.100000000000001</v>
      </c>
      <c r="I13">
        <v>5</v>
      </c>
      <c r="J13">
        <v>128.5</v>
      </c>
      <c r="K13">
        <v>8.57</v>
      </c>
      <c r="L13">
        <v>1400</v>
      </c>
      <c r="M13" s="59">
        <v>15.8</v>
      </c>
      <c r="N13">
        <v>1.1000000000000001</v>
      </c>
      <c r="O13">
        <v>10.8</v>
      </c>
      <c r="P13">
        <v>0.1</v>
      </c>
      <c r="Q13">
        <f t="shared" si="0"/>
        <v>91.608841778678382</v>
      </c>
      <c r="R13">
        <v>245.4</v>
      </c>
      <c r="S13">
        <v>3846</v>
      </c>
      <c r="T13" s="62">
        <f t="shared" si="1"/>
        <v>0.94380839999999999</v>
      </c>
      <c r="U13">
        <f t="shared" si="2"/>
        <v>1.0302590685298544E-2</v>
      </c>
      <c r="V13">
        <f t="shared" si="3"/>
        <v>1674.0685927355594</v>
      </c>
      <c r="W13">
        <v>933.6</v>
      </c>
      <c r="X13">
        <v>941</v>
      </c>
      <c r="Y13">
        <v>3.9</v>
      </c>
      <c r="Z13">
        <v>2.58</v>
      </c>
    </row>
    <row r="14" spans="1:26">
      <c r="A14">
        <v>10</v>
      </c>
      <c r="B14">
        <v>10</v>
      </c>
      <c r="C14">
        <v>5</v>
      </c>
      <c r="D14">
        <v>0.4</v>
      </c>
      <c r="E14">
        <v>30.4</v>
      </c>
      <c r="F14">
        <v>15500</v>
      </c>
      <c r="G14">
        <v>44.9</v>
      </c>
      <c r="H14">
        <v>10.9</v>
      </c>
      <c r="I14">
        <v>4.7</v>
      </c>
      <c r="J14">
        <v>60.5</v>
      </c>
      <c r="K14">
        <v>6.05</v>
      </c>
      <c r="L14">
        <v>3500</v>
      </c>
      <c r="M14" s="59">
        <v>9.4</v>
      </c>
      <c r="N14">
        <v>0.4</v>
      </c>
      <c r="O14">
        <v>6.1</v>
      </c>
      <c r="P14">
        <v>0.6</v>
      </c>
      <c r="Q14">
        <f t="shared" si="0"/>
        <v>29.224665660019046</v>
      </c>
      <c r="R14">
        <v>178.4</v>
      </c>
      <c r="S14">
        <v>2176</v>
      </c>
      <c r="T14" s="62">
        <f t="shared" si="1"/>
        <v>0.3881984</v>
      </c>
      <c r="U14">
        <f t="shared" si="2"/>
        <v>1.3283245205130844E-2</v>
      </c>
      <c r="V14">
        <f t="shared" si="3"/>
        <v>2421.4422316011605</v>
      </c>
      <c r="W14">
        <v>390.6</v>
      </c>
      <c r="X14">
        <v>1118</v>
      </c>
      <c r="Y14">
        <v>6.2</v>
      </c>
      <c r="Z14">
        <v>2.56</v>
      </c>
    </row>
    <row r="15" spans="1:26">
      <c r="A15">
        <v>11</v>
      </c>
      <c r="B15">
        <v>24</v>
      </c>
      <c r="C15">
        <v>4.5999999999999996</v>
      </c>
      <c r="D15">
        <v>0.4</v>
      </c>
      <c r="E15">
        <v>54.3</v>
      </c>
      <c r="F15">
        <v>32700</v>
      </c>
      <c r="G15">
        <v>75.2</v>
      </c>
      <c r="H15">
        <v>19.600000000000001</v>
      </c>
      <c r="I15">
        <v>6.9</v>
      </c>
      <c r="J15">
        <v>101.7</v>
      </c>
      <c r="K15">
        <v>4.24</v>
      </c>
      <c r="L15">
        <v>1000</v>
      </c>
      <c r="M15" s="59">
        <v>7.9</v>
      </c>
      <c r="N15">
        <v>0.6</v>
      </c>
      <c r="O15">
        <v>6.2</v>
      </c>
      <c r="P15">
        <v>0.9</v>
      </c>
      <c r="Q15">
        <f t="shared" si="0"/>
        <v>30.190705400997917</v>
      </c>
      <c r="R15">
        <v>269.2</v>
      </c>
      <c r="S15">
        <v>1601</v>
      </c>
      <c r="T15" s="62">
        <f t="shared" si="1"/>
        <v>0.43098919999999996</v>
      </c>
      <c r="U15">
        <f t="shared" si="2"/>
        <v>1.4275559125748488E-2</v>
      </c>
      <c r="V15">
        <f t="shared" si="3"/>
        <v>1832.9925668671049</v>
      </c>
      <c r="W15">
        <v>435.2</v>
      </c>
      <c r="X15">
        <v>2077</v>
      </c>
      <c r="Y15">
        <v>7.6</v>
      </c>
      <c r="Z15">
        <v>2.92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baseColWidth="10" defaultRowHeight="12.75"/>
  <sheetData>
    <row r="1" spans="1:11">
      <c r="A1" t="s">
        <v>1406</v>
      </c>
    </row>
    <row r="2" spans="1:11">
      <c r="A2" t="s">
        <v>1418</v>
      </c>
    </row>
    <row r="4" spans="1:11">
      <c r="A4" t="s">
        <v>1407</v>
      </c>
    </row>
    <row r="6" spans="1:11">
      <c r="A6" s="35" t="s">
        <v>1408</v>
      </c>
      <c r="B6" s="35" t="s">
        <v>1409</v>
      </c>
      <c r="C6" s="35" t="s">
        <v>1410</v>
      </c>
      <c r="D6" s="35" t="s">
        <v>1411</v>
      </c>
      <c r="E6" s="35" t="s">
        <v>1412</v>
      </c>
      <c r="F6" s="35" t="s">
        <v>1413</v>
      </c>
      <c r="G6" s="35" t="s">
        <v>1414</v>
      </c>
      <c r="H6" s="35" t="s">
        <v>1415</v>
      </c>
      <c r="I6" s="35" t="s">
        <v>1416</v>
      </c>
      <c r="J6" s="35" t="s">
        <v>1417</v>
      </c>
      <c r="K6" s="35" t="s">
        <v>1403</v>
      </c>
    </row>
    <row r="7" spans="1:11">
      <c r="A7">
        <v>1</v>
      </c>
      <c r="B7">
        <v>5</v>
      </c>
      <c r="C7">
        <v>27780</v>
      </c>
      <c r="D7">
        <v>2.4700000000000002</v>
      </c>
      <c r="E7">
        <v>2.2999999999999998</v>
      </c>
      <c r="F7">
        <v>1.57</v>
      </c>
      <c r="G7">
        <v>11.11</v>
      </c>
      <c r="H7">
        <v>254</v>
      </c>
      <c r="I7">
        <v>3.15</v>
      </c>
      <c r="J7">
        <v>8.7799999999999994</v>
      </c>
      <c r="K7">
        <v>1.27</v>
      </c>
    </row>
    <row r="8" spans="1:11">
      <c r="A8">
        <v>2</v>
      </c>
      <c r="B8">
        <v>5</v>
      </c>
      <c r="C8">
        <v>44440</v>
      </c>
      <c r="D8">
        <v>2.98</v>
      </c>
      <c r="E8">
        <v>2.36</v>
      </c>
      <c r="F8">
        <v>2.98</v>
      </c>
      <c r="G8">
        <v>15.37</v>
      </c>
      <c r="H8">
        <v>350</v>
      </c>
      <c r="I8">
        <v>4.8099999999999996</v>
      </c>
      <c r="J8">
        <v>19.43</v>
      </c>
      <c r="K8">
        <v>0.79</v>
      </c>
    </row>
    <row r="9" spans="1:11">
      <c r="A9">
        <v>3</v>
      </c>
      <c r="B9">
        <v>7</v>
      </c>
      <c r="C9">
        <v>57770</v>
      </c>
      <c r="D9">
        <v>1.43</v>
      </c>
      <c r="E9">
        <v>1.37</v>
      </c>
      <c r="F9">
        <v>2.4700000000000002</v>
      </c>
      <c r="G9">
        <v>18.12</v>
      </c>
      <c r="H9">
        <v>206</v>
      </c>
      <c r="I9">
        <v>3.17</v>
      </c>
      <c r="J9">
        <v>5.14</v>
      </c>
      <c r="K9">
        <v>3.52</v>
      </c>
    </row>
    <row r="10" spans="1:11">
      <c r="A10">
        <v>4</v>
      </c>
      <c r="B10">
        <v>7</v>
      </c>
      <c r="C10">
        <v>16670</v>
      </c>
      <c r="D10">
        <v>1</v>
      </c>
      <c r="E10">
        <v>1.94</v>
      </c>
      <c r="F10">
        <v>0.39</v>
      </c>
      <c r="G10">
        <v>2.93</v>
      </c>
      <c r="H10">
        <v>23</v>
      </c>
      <c r="I10">
        <v>1.84</v>
      </c>
      <c r="J10">
        <v>1.86</v>
      </c>
      <c r="K10">
        <v>1.57</v>
      </c>
    </row>
    <row r="11" spans="1:11">
      <c r="A11">
        <v>5</v>
      </c>
      <c r="B11">
        <v>7</v>
      </c>
      <c r="C11">
        <v>36660</v>
      </c>
      <c r="D11">
        <v>2.2999999999999998</v>
      </c>
      <c r="E11">
        <v>2.42</v>
      </c>
      <c r="F11">
        <v>3.87</v>
      </c>
      <c r="G11">
        <v>12.31</v>
      </c>
      <c r="H11">
        <v>328</v>
      </c>
      <c r="I11">
        <v>8.48</v>
      </c>
      <c r="J11">
        <v>11.85</v>
      </c>
      <c r="K11">
        <v>1.04</v>
      </c>
    </row>
    <row r="12" spans="1:11">
      <c r="A12">
        <v>6</v>
      </c>
      <c r="B12">
        <v>7</v>
      </c>
      <c r="C12">
        <v>61110</v>
      </c>
      <c r="D12">
        <v>2.14</v>
      </c>
      <c r="E12">
        <v>2.14</v>
      </c>
      <c r="F12">
        <v>2.79</v>
      </c>
      <c r="G12">
        <v>12.92</v>
      </c>
      <c r="H12">
        <v>1192</v>
      </c>
      <c r="I12">
        <v>3.59</v>
      </c>
      <c r="J12">
        <v>14.83</v>
      </c>
      <c r="K12">
        <v>0.87</v>
      </c>
    </row>
    <row r="13" spans="1:11">
      <c r="A13">
        <v>7</v>
      </c>
      <c r="B13">
        <v>6</v>
      </c>
      <c r="C13">
        <v>3770</v>
      </c>
      <c r="D13">
        <v>1.77</v>
      </c>
      <c r="E13">
        <v>2.02</v>
      </c>
      <c r="F13">
        <v>1.38</v>
      </c>
      <c r="G13">
        <v>6.76</v>
      </c>
      <c r="H13">
        <v>398</v>
      </c>
      <c r="I13">
        <v>6.85</v>
      </c>
      <c r="J13">
        <v>7.21</v>
      </c>
      <c r="K13">
        <v>0.94</v>
      </c>
    </row>
    <row r="14" spans="1:11">
      <c r="A14">
        <v>8</v>
      </c>
      <c r="B14">
        <v>7</v>
      </c>
      <c r="C14">
        <v>27780</v>
      </c>
      <c r="D14">
        <v>1.41</v>
      </c>
      <c r="E14">
        <v>1.9</v>
      </c>
      <c r="F14">
        <v>0.76</v>
      </c>
      <c r="G14">
        <v>5.37</v>
      </c>
      <c r="H14" s="91" t="s">
        <v>1419</v>
      </c>
      <c r="I14">
        <v>16.43</v>
      </c>
      <c r="J14">
        <v>3.49</v>
      </c>
      <c r="K14">
        <v>1.54</v>
      </c>
    </row>
    <row r="15" spans="1:11">
      <c r="A15">
        <v>9</v>
      </c>
      <c r="B15">
        <v>9</v>
      </c>
      <c r="C15">
        <v>21110</v>
      </c>
      <c r="D15">
        <v>1.96</v>
      </c>
      <c r="E15">
        <v>2.2599999999999998</v>
      </c>
      <c r="F15">
        <v>0.98</v>
      </c>
      <c r="G15">
        <v>2.25</v>
      </c>
      <c r="H15">
        <v>181</v>
      </c>
      <c r="I15">
        <v>6.71</v>
      </c>
      <c r="J15">
        <v>4.88</v>
      </c>
      <c r="K15">
        <v>0.46</v>
      </c>
    </row>
    <row r="16" spans="1:11">
      <c r="A16">
        <v>10</v>
      </c>
      <c r="B16">
        <v>10</v>
      </c>
      <c r="C16">
        <v>15550</v>
      </c>
      <c r="D16">
        <v>1.05</v>
      </c>
      <c r="E16">
        <v>1.5</v>
      </c>
      <c r="F16">
        <v>0.27</v>
      </c>
      <c r="G16">
        <v>1.02</v>
      </c>
      <c r="H16">
        <v>79</v>
      </c>
      <c r="I16">
        <v>0.69</v>
      </c>
      <c r="J16">
        <v>1.31</v>
      </c>
      <c r="K16">
        <v>0.78</v>
      </c>
    </row>
    <row r="17" spans="1:11">
      <c r="A17">
        <v>11</v>
      </c>
      <c r="B17">
        <v>8</v>
      </c>
      <c r="C17">
        <v>28890</v>
      </c>
      <c r="D17">
        <v>2.58</v>
      </c>
      <c r="E17">
        <v>2.84</v>
      </c>
      <c r="F17">
        <v>3.29</v>
      </c>
      <c r="G17">
        <v>9.74</v>
      </c>
      <c r="H17">
        <v>1331</v>
      </c>
      <c r="I17">
        <v>15.47</v>
      </c>
      <c r="J17">
        <v>14.46</v>
      </c>
      <c r="K17">
        <v>0.67</v>
      </c>
    </row>
    <row r="18" spans="1:11">
      <c r="A18">
        <v>12</v>
      </c>
      <c r="B18">
        <v>8</v>
      </c>
      <c r="C18">
        <v>21100</v>
      </c>
      <c r="D18">
        <v>3.8</v>
      </c>
      <c r="E18">
        <v>3.29</v>
      </c>
      <c r="F18">
        <v>2.0699999999999998</v>
      </c>
      <c r="G18">
        <v>6.81</v>
      </c>
      <c r="H18">
        <v>1418</v>
      </c>
      <c r="I18">
        <v>8.14</v>
      </c>
      <c r="J18">
        <v>21.22</v>
      </c>
      <c r="K18">
        <v>0.32</v>
      </c>
    </row>
    <row r="21" spans="1:11">
      <c r="A21" t="s">
        <v>1421</v>
      </c>
    </row>
    <row r="23" spans="1:11">
      <c r="A23" t="s">
        <v>1420</v>
      </c>
    </row>
    <row r="25" spans="1:11">
      <c r="A25" t="s">
        <v>1422</v>
      </c>
    </row>
    <row r="27" spans="1:11">
      <c r="A27" t="s">
        <v>1423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A24" sqref="A24"/>
    </sheetView>
  </sheetViews>
  <sheetFormatPr baseColWidth="10" defaultRowHeight="12.75"/>
  <sheetData>
    <row r="1" spans="1:5">
      <c r="A1" t="s">
        <v>1228</v>
      </c>
    </row>
    <row r="4" spans="1:5">
      <c r="A4" s="26" t="s">
        <v>1229</v>
      </c>
    </row>
    <row r="5" spans="1:5">
      <c r="A5" t="s">
        <v>1230</v>
      </c>
      <c r="B5" t="s">
        <v>1231</v>
      </c>
      <c r="C5" t="s">
        <v>1232</v>
      </c>
      <c r="D5" t="s">
        <v>1233</v>
      </c>
      <c r="E5" t="s">
        <v>858</v>
      </c>
    </row>
    <row r="6" spans="1:5">
      <c r="A6">
        <v>1</v>
      </c>
      <c r="B6">
        <v>8</v>
      </c>
      <c r="C6">
        <v>12450</v>
      </c>
      <c r="D6">
        <v>13.2</v>
      </c>
      <c r="E6">
        <v>2.6</v>
      </c>
    </row>
    <row r="7" spans="1:5">
      <c r="A7">
        <v>2</v>
      </c>
      <c r="B7">
        <v>8</v>
      </c>
      <c r="C7">
        <v>12890</v>
      </c>
      <c r="D7">
        <v>11.9</v>
      </c>
      <c r="E7">
        <v>2.2999999999999998</v>
      </c>
    </row>
    <row r="8" spans="1:5">
      <c r="A8">
        <v>3</v>
      </c>
      <c r="B8">
        <v>14</v>
      </c>
      <c r="C8">
        <v>6260</v>
      </c>
      <c r="D8">
        <v>15.9</v>
      </c>
      <c r="E8">
        <v>3.1</v>
      </c>
    </row>
    <row r="9" spans="1:5">
      <c r="A9">
        <v>4</v>
      </c>
      <c r="B9">
        <v>14</v>
      </c>
      <c r="C9">
        <v>6940</v>
      </c>
      <c r="D9">
        <v>14.9</v>
      </c>
      <c r="E9">
        <v>2.7</v>
      </c>
    </row>
    <row r="10" spans="1:5">
      <c r="A10">
        <v>5</v>
      </c>
      <c r="B10">
        <v>18</v>
      </c>
      <c r="C10">
        <v>5600</v>
      </c>
      <c r="D10">
        <v>16.5</v>
      </c>
      <c r="E10">
        <v>2.7</v>
      </c>
    </row>
    <row r="11" spans="1:5">
      <c r="A11">
        <v>6</v>
      </c>
      <c r="B11">
        <v>18</v>
      </c>
      <c r="C11">
        <v>7390</v>
      </c>
      <c r="D11">
        <v>21.7</v>
      </c>
      <c r="E11">
        <v>4.3</v>
      </c>
    </row>
    <row r="12" spans="1:5">
      <c r="A12">
        <v>7</v>
      </c>
      <c r="B12">
        <v>32</v>
      </c>
      <c r="C12">
        <v>1400</v>
      </c>
      <c r="D12">
        <v>23.6</v>
      </c>
      <c r="E12">
        <v>3.9</v>
      </c>
    </row>
    <row r="13" spans="1:5">
      <c r="A13">
        <v>8</v>
      </c>
      <c r="B13">
        <v>32</v>
      </c>
      <c r="C13">
        <v>1750</v>
      </c>
      <c r="D13">
        <v>25.2</v>
      </c>
      <c r="E13">
        <v>4.4000000000000004</v>
      </c>
    </row>
    <row r="14" spans="1:5">
      <c r="A14">
        <v>9</v>
      </c>
      <c r="B14">
        <v>63</v>
      </c>
      <c r="C14">
        <v>890</v>
      </c>
      <c r="D14">
        <v>25.9</v>
      </c>
      <c r="E14">
        <v>4.0999999999999996</v>
      </c>
    </row>
    <row r="17" spans="1:8">
      <c r="A17" s="26" t="s">
        <v>1234</v>
      </c>
    </row>
    <row r="19" spans="1:8">
      <c r="A19" t="s">
        <v>1235</v>
      </c>
      <c r="B19" t="s">
        <v>1236</v>
      </c>
      <c r="C19" t="s">
        <v>1237</v>
      </c>
      <c r="D19" t="s">
        <v>1238</v>
      </c>
      <c r="E19" t="s">
        <v>1239</v>
      </c>
      <c r="F19" t="s">
        <v>1240</v>
      </c>
      <c r="G19" t="s">
        <v>1241</v>
      </c>
      <c r="H19" t="s">
        <v>1242</v>
      </c>
    </row>
    <row r="20" spans="1:8">
      <c r="A20" s="35"/>
      <c r="B20" s="35"/>
      <c r="C20" s="35"/>
      <c r="D20" s="41" t="s">
        <v>1243</v>
      </c>
      <c r="E20" s="35"/>
      <c r="F20" s="35"/>
      <c r="G20" s="35"/>
      <c r="H20" s="35"/>
    </row>
    <row r="21" spans="1:8">
      <c r="A21" t="s">
        <v>1244</v>
      </c>
      <c r="B21" t="s">
        <v>1394</v>
      </c>
      <c r="C21">
        <v>-3.198</v>
      </c>
      <c r="D21">
        <v>2.6030000000000002</v>
      </c>
      <c r="E21" t="s">
        <v>1396</v>
      </c>
      <c r="F21">
        <v>0.99299999999999999</v>
      </c>
      <c r="G21">
        <v>5.8</v>
      </c>
      <c r="H21">
        <v>1.01</v>
      </c>
    </row>
    <row r="22" spans="1:8">
      <c r="A22" t="s">
        <v>1245</v>
      </c>
      <c r="B22" t="s">
        <v>1394</v>
      </c>
      <c r="C22">
        <v>-4.2300000000000004</v>
      </c>
      <c r="D22">
        <v>2.2919999999999998</v>
      </c>
      <c r="E22" t="s">
        <v>1397</v>
      </c>
      <c r="F22">
        <v>0.98199999999999998</v>
      </c>
      <c r="G22">
        <v>1.9</v>
      </c>
      <c r="H22">
        <v>1.0269999999999999</v>
      </c>
    </row>
    <row r="23" spans="1:8">
      <c r="A23" t="s">
        <v>1246</v>
      </c>
      <c r="B23" t="s">
        <v>1394</v>
      </c>
      <c r="C23">
        <v>-5.6159999999999997</v>
      </c>
      <c r="D23">
        <v>3.19</v>
      </c>
      <c r="E23">
        <v>-4.4999999999999998E-2</v>
      </c>
      <c r="F23">
        <v>0.98399999999999999</v>
      </c>
      <c r="G23">
        <v>1.99</v>
      </c>
      <c r="H23">
        <v>1.0269999999999999</v>
      </c>
    </row>
    <row r="24" spans="1:8">
      <c r="A24" t="s">
        <v>1247</v>
      </c>
      <c r="B24" t="s">
        <v>1394</v>
      </c>
      <c r="C24">
        <v>-5.1559999999999997</v>
      </c>
      <c r="D24">
        <v>2.5680000000000001</v>
      </c>
      <c r="E24">
        <v>-6.3E-2</v>
      </c>
      <c r="F24">
        <v>0.97699999999999998</v>
      </c>
      <c r="G24">
        <v>0.39</v>
      </c>
      <c r="H24">
        <v>1.018</v>
      </c>
    </row>
    <row r="25" spans="1:8">
      <c r="A25" t="s">
        <v>1248</v>
      </c>
      <c r="B25" t="s">
        <v>1394</v>
      </c>
      <c r="C25">
        <v>-6.3760000000000003</v>
      </c>
      <c r="D25">
        <v>2.31</v>
      </c>
      <c r="E25">
        <v>-5.2999999999999999E-2</v>
      </c>
      <c r="F25">
        <v>0.84599999999999997</v>
      </c>
      <c r="G25">
        <v>0.08</v>
      </c>
      <c r="H25">
        <v>1.1279999999999999</v>
      </c>
    </row>
    <row r="26" spans="1:8">
      <c r="A26" t="s">
        <v>1249</v>
      </c>
      <c r="B26" t="s">
        <v>1394</v>
      </c>
      <c r="C26">
        <v>-2.641</v>
      </c>
      <c r="D26">
        <v>2.8769999999999998</v>
      </c>
      <c r="E26">
        <v>-3.7999999999999999E-2</v>
      </c>
      <c r="F26">
        <v>0.98499999999999999</v>
      </c>
      <c r="G26">
        <v>2.16</v>
      </c>
      <c r="H26">
        <v>1.0229999999999999</v>
      </c>
    </row>
    <row r="27" spans="1:8" ht="13.5" thickBot="1">
      <c r="A27" s="88" t="s">
        <v>1203</v>
      </c>
      <c r="B27" s="88" t="s">
        <v>1394</v>
      </c>
      <c r="C27" s="88">
        <v>-2.6720000000000002</v>
      </c>
      <c r="D27" s="88">
        <v>2.593</v>
      </c>
      <c r="E27" s="89" t="s">
        <v>1398</v>
      </c>
      <c r="F27" s="88">
        <v>0.995</v>
      </c>
      <c r="G27" s="88">
        <v>5.96</v>
      </c>
      <c r="H27" s="88">
        <v>1.0129999999999999</v>
      </c>
    </row>
    <row r="28" spans="1:8">
      <c r="A28" s="47"/>
      <c r="B28" s="47"/>
      <c r="C28" s="47"/>
      <c r="D28" s="90" t="s">
        <v>1250</v>
      </c>
      <c r="E28" s="47"/>
      <c r="F28" s="47"/>
      <c r="G28" s="47"/>
      <c r="H28" s="47"/>
    </row>
    <row r="29" spans="1:8">
      <c r="A29" t="s">
        <v>1244</v>
      </c>
      <c r="B29" t="s">
        <v>1395</v>
      </c>
      <c r="C29" s="50">
        <v>-1.18</v>
      </c>
      <c r="D29" s="50">
        <v>0.32900000000000001</v>
      </c>
      <c r="F29" s="50">
        <v>0.92600000000000005</v>
      </c>
      <c r="G29" s="50">
        <v>0.72</v>
      </c>
    </row>
    <row r="30" spans="1:8">
      <c r="A30" t="s">
        <v>1245</v>
      </c>
      <c r="B30" t="s">
        <v>1395</v>
      </c>
      <c r="C30" s="50">
        <v>-0.29599999999999999</v>
      </c>
      <c r="D30">
        <v>7.9000000000000001E-2</v>
      </c>
      <c r="F30" s="50">
        <v>0.94</v>
      </c>
      <c r="G30" s="50">
        <v>0.15</v>
      </c>
    </row>
    <row r="31" spans="1:8">
      <c r="A31" t="s">
        <v>1246</v>
      </c>
      <c r="B31" t="s">
        <v>1395</v>
      </c>
      <c r="C31" s="50">
        <v>-0.28299999999999997</v>
      </c>
      <c r="D31">
        <v>9.9000000000000005E-2</v>
      </c>
      <c r="F31" s="50">
        <v>0.879</v>
      </c>
      <c r="G31" s="50">
        <v>0.28000000000000003</v>
      </c>
    </row>
    <row r="32" spans="1:8">
      <c r="A32" s="35" t="s">
        <v>1203</v>
      </c>
      <c r="B32" s="35" t="s">
        <v>1395</v>
      </c>
      <c r="C32" s="35">
        <v>-0.27</v>
      </c>
      <c r="D32" s="35">
        <v>0.75700000000000001</v>
      </c>
      <c r="E32" s="35"/>
      <c r="F32" s="35">
        <v>0.95099999999999996</v>
      </c>
      <c r="G32" s="35">
        <v>1.32</v>
      </c>
      <c r="H32" s="35"/>
    </row>
    <row r="33" spans="1:6">
      <c r="A33" t="s">
        <v>1391</v>
      </c>
    </row>
    <row r="34" spans="1:6">
      <c r="A34" t="s">
        <v>1392</v>
      </c>
    </row>
    <row r="35" spans="1:6">
      <c r="A35" t="s">
        <v>1393</v>
      </c>
    </row>
    <row r="38" spans="1:6">
      <c r="A38" s="26" t="s">
        <v>1399</v>
      </c>
    </row>
    <row r="39" spans="1:6">
      <c r="A39" t="s">
        <v>1405</v>
      </c>
    </row>
    <row r="40" spans="1:6">
      <c r="A40" s="35" t="s">
        <v>1231</v>
      </c>
      <c r="B40" s="35" t="s">
        <v>1400</v>
      </c>
      <c r="C40" s="35" t="s">
        <v>1401</v>
      </c>
      <c r="D40" s="35" t="s">
        <v>1402</v>
      </c>
      <c r="E40" s="35" t="s">
        <v>1203</v>
      </c>
      <c r="F40" s="35" t="s">
        <v>1403</v>
      </c>
    </row>
    <row r="41" spans="1:6">
      <c r="A41" s="35"/>
      <c r="B41" s="35"/>
      <c r="C41" s="35" t="s">
        <v>1404</v>
      </c>
      <c r="D41" s="35"/>
      <c r="E41" s="35"/>
      <c r="F41" s="35"/>
    </row>
    <row r="42" spans="1:6">
      <c r="A42">
        <v>8</v>
      </c>
      <c r="B42">
        <v>2.2000000000000002</v>
      </c>
      <c r="C42">
        <v>7.5</v>
      </c>
      <c r="D42">
        <v>4.0999999999999996</v>
      </c>
      <c r="E42">
        <v>13.8</v>
      </c>
      <c r="F42">
        <v>0.57999999999999996</v>
      </c>
    </row>
    <row r="43" spans="1:6">
      <c r="A43">
        <v>14</v>
      </c>
      <c r="B43">
        <v>1.8</v>
      </c>
      <c r="C43">
        <v>8.3000000000000007</v>
      </c>
      <c r="D43">
        <v>5.2</v>
      </c>
      <c r="E43">
        <v>15.3</v>
      </c>
      <c r="F43">
        <v>0.38</v>
      </c>
    </row>
    <row r="44" spans="1:6">
      <c r="A44">
        <v>18</v>
      </c>
      <c r="B44">
        <v>1.7</v>
      </c>
      <c r="C44">
        <v>8.4</v>
      </c>
      <c r="D44">
        <v>5.6</v>
      </c>
      <c r="E44">
        <v>15.7</v>
      </c>
      <c r="F44">
        <v>0.34</v>
      </c>
    </row>
    <row r="45" spans="1:6">
      <c r="A45">
        <v>32</v>
      </c>
      <c r="B45">
        <v>2.1</v>
      </c>
      <c r="C45">
        <v>8</v>
      </c>
      <c r="D45">
        <v>11.3</v>
      </c>
      <c r="E45">
        <v>21.4</v>
      </c>
      <c r="F45">
        <v>0.21</v>
      </c>
    </row>
    <row r="46" spans="1:6">
      <c r="A46">
        <v>63</v>
      </c>
      <c r="B46">
        <v>2.6</v>
      </c>
      <c r="C46">
        <v>8.1</v>
      </c>
      <c r="D46">
        <v>12.6</v>
      </c>
      <c r="E46">
        <v>23.3</v>
      </c>
      <c r="F46">
        <v>0.18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workbookViewId="0"/>
  </sheetViews>
  <sheetFormatPr baseColWidth="10" defaultRowHeight="12.75"/>
  <sheetData>
    <row r="1" spans="1:31">
      <c r="A1" t="s">
        <v>1204</v>
      </c>
    </row>
    <row r="3" spans="1:31" s="26" customFormat="1">
      <c r="A3" s="83"/>
      <c r="B3" s="26" t="s">
        <v>1205</v>
      </c>
      <c r="L3" s="80" t="s">
        <v>1213</v>
      </c>
      <c r="V3" s="80" t="s">
        <v>1214</v>
      </c>
    </row>
    <row r="4" spans="1:31" ht="13.5" thickBot="1">
      <c r="A4" s="84" t="s">
        <v>297</v>
      </c>
      <c r="B4" s="69" t="s">
        <v>1206</v>
      </c>
      <c r="C4" s="84" t="s">
        <v>1209</v>
      </c>
      <c r="D4" s="69" t="s">
        <v>1207</v>
      </c>
      <c r="E4" s="84" t="s">
        <v>1208</v>
      </c>
      <c r="F4" s="69" t="s">
        <v>1210</v>
      </c>
      <c r="G4" s="84" t="s">
        <v>1215</v>
      </c>
      <c r="H4" s="84" t="s">
        <v>1217</v>
      </c>
      <c r="I4" s="84" t="s">
        <v>1218</v>
      </c>
      <c r="J4" s="84" t="s">
        <v>1211</v>
      </c>
      <c r="K4" s="69" t="s">
        <v>1212</v>
      </c>
      <c r="L4" s="79" t="s">
        <v>1206</v>
      </c>
      <c r="M4" s="84" t="s">
        <v>1209</v>
      </c>
      <c r="N4" s="69" t="s">
        <v>1207</v>
      </c>
      <c r="O4" s="84" t="s">
        <v>1208</v>
      </c>
      <c r="P4" s="69" t="s">
        <v>1210</v>
      </c>
      <c r="Q4" s="84" t="s">
        <v>1215</v>
      </c>
      <c r="R4" s="84" t="s">
        <v>1217</v>
      </c>
      <c r="S4" s="84" t="s">
        <v>1218</v>
      </c>
      <c r="T4" s="84" t="s">
        <v>1211</v>
      </c>
      <c r="U4" s="69" t="s">
        <v>1212</v>
      </c>
      <c r="V4" s="84" t="s">
        <v>1206</v>
      </c>
      <c r="W4" s="69" t="s">
        <v>1209</v>
      </c>
      <c r="X4" s="84" t="s">
        <v>1207</v>
      </c>
      <c r="Y4" s="84" t="s">
        <v>1208</v>
      </c>
      <c r="Z4" s="69" t="s">
        <v>1210</v>
      </c>
      <c r="AA4" s="84" t="s">
        <v>1215</v>
      </c>
      <c r="AB4" s="84" t="s">
        <v>1217</v>
      </c>
      <c r="AC4" s="84" t="s">
        <v>1218</v>
      </c>
      <c r="AD4" s="84" t="s">
        <v>1211</v>
      </c>
      <c r="AE4" s="84" t="s">
        <v>1212</v>
      </c>
    </row>
    <row r="5" spans="1:31">
      <c r="A5" s="85">
        <v>5</v>
      </c>
      <c r="B5">
        <v>383</v>
      </c>
      <c r="C5" s="87">
        <v>6.7</v>
      </c>
      <c r="D5" s="78">
        <v>1.5</v>
      </c>
      <c r="E5" s="77">
        <v>7.1</v>
      </c>
      <c r="F5">
        <v>0.23799999999999999</v>
      </c>
      <c r="G5" s="85">
        <f>PI()/4*((100/(SQRT(B5)))*(100/(SQRT(B5))))</f>
        <v>20.50647946207437</v>
      </c>
      <c r="H5" s="85">
        <f>(100/(SQRT(B5)))/2</f>
        <v>2.5548806515379803</v>
      </c>
      <c r="I5" s="85">
        <f>H5/E5</f>
        <v>0.35984234528703951</v>
      </c>
      <c r="J5" s="85">
        <v>0</v>
      </c>
      <c r="K5">
        <v>0.4</v>
      </c>
      <c r="L5" s="81">
        <v>396</v>
      </c>
      <c r="M5" s="77">
        <v>5.7</v>
      </c>
      <c r="N5" s="78">
        <v>1.2</v>
      </c>
      <c r="O5" s="77">
        <v>6.2</v>
      </c>
      <c r="P5">
        <v>0.23799999999999999</v>
      </c>
      <c r="Q5" s="85">
        <f>PI()/4*((100/(SQRT(L5)))*(100/(SQRT(L5))))</f>
        <v>19.833286954481018</v>
      </c>
      <c r="R5" s="85">
        <f>(100/(SQRT(L5)))/2</f>
        <v>2.5125945381480301</v>
      </c>
      <c r="S5" s="85">
        <f>R5/O5</f>
        <v>0.40525718357226292</v>
      </c>
      <c r="T5" s="85">
        <v>0</v>
      </c>
      <c r="U5">
        <v>0.4</v>
      </c>
      <c r="V5" s="81">
        <v>400</v>
      </c>
      <c r="W5" s="77">
        <v>4.5</v>
      </c>
      <c r="X5" s="78">
        <v>0.9</v>
      </c>
      <c r="Y5" s="77">
        <v>5.4</v>
      </c>
      <c r="Z5">
        <v>0.23799999999999999</v>
      </c>
      <c r="AA5" s="85">
        <f>PI()/4*((100/(SQRT(V5)))*(100/(SQRT(V5))))</f>
        <v>19.634954084936208</v>
      </c>
      <c r="AB5" s="85">
        <f>(100/(SQRT(V5)))/2</f>
        <v>2.5</v>
      </c>
      <c r="AC5" s="85">
        <f>AB5/Y5</f>
        <v>0.46296296296296291</v>
      </c>
      <c r="AD5" s="85">
        <v>0</v>
      </c>
      <c r="AE5" s="85">
        <v>0.2</v>
      </c>
    </row>
    <row r="6" spans="1:31">
      <c r="A6" s="85"/>
      <c r="C6" s="87"/>
      <c r="D6" s="78"/>
      <c r="E6" s="77"/>
      <c r="G6" s="85"/>
      <c r="H6" s="85"/>
      <c r="I6" s="85"/>
      <c r="J6" s="85"/>
      <c r="L6" s="81"/>
      <c r="M6" s="77"/>
      <c r="N6" s="78"/>
      <c r="O6" s="77"/>
      <c r="Q6" s="85"/>
      <c r="R6" s="85"/>
      <c r="S6" s="85"/>
      <c r="T6" s="85"/>
      <c r="V6" s="81"/>
      <c r="W6" s="77"/>
      <c r="X6" s="78"/>
      <c r="Y6" s="77"/>
      <c r="AA6" s="85"/>
      <c r="AB6" s="85"/>
      <c r="AC6" s="85"/>
      <c r="AD6" s="85"/>
      <c r="AE6" s="85"/>
    </row>
    <row r="7" spans="1:31">
      <c r="A7" s="85">
        <v>10</v>
      </c>
      <c r="B7">
        <v>328</v>
      </c>
      <c r="C7" s="87">
        <v>16.600000000000001</v>
      </c>
      <c r="D7" s="78">
        <v>10</v>
      </c>
      <c r="E7" s="77">
        <v>19.7</v>
      </c>
      <c r="F7">
        <v>0.40100000000000002</v>
      </c>
      <c r="G7" s="85">
        <f>PI()/4*((100/(SQRT(B7)))*(100/(SQRT(B7))))</f>
        <v>23.945065957239276</v>
      </c>
      <c r="H7" s="85">
        <f>(100/(SQRT(B7)))/2</f>
        <v>2.7607881518711634</v>
      </c>
      <c r="I7" s="85">
        <f>H7/E7</f>
        <v>0.1401415305518357</v>
      </c>
      <c r="J7" s="85">
        <v>13.4</v>
      </c>
      <c r="K7">
        <v>6.9</v>
      </c>
      <c r="L7" s="82">
        <v>374</v>
      </c>
      <c r="M7" s="77">
        <v>14.7</v>
      </c>
      <c r="N7" s="78">
        <v>8.5</v>
      </c>
      <c r="O7" s="77">
        <v>16.899999999999999</v>
      </c>
      <c r="P7">
        <v>0.40100000000000002</v>
      </c>
      <c r="Q7" s="85">
        <f>PI()/4*((100/(SQRT(L7)))*(100/(SQRT(L7))))</f>
        <v>20.9999508929799</v>
      </c>
      <c r="R7" s="85">
        <f>(100/(SQRT(L7)))/2</f>
        <v>2.5854384499750958</v>
      </c>
      <c r="S7" s="85">
        <f>R7/O7</f>
        <v>0.15298452366716545</v>
      </c>
      <c r="T7" s="85">
        <v>9.8000000000000007</v>
      </c>
      <c r="U7">
        <v>5.4</v>
      </c>
      <c r="V7" s="82">
        <v>400</v>
      </c>
      <c r="W7" s="77">
        <v>12.9</v>
      </c>
      <c r="X7" s="78">
        <v>6.9</v>
      </c>
      <c r="Y7" s="77">
        <v>14.8</v>
      </c>
      <c r="Z7">
        <v>0.40100000000000002</v>
      </c>
      <c r="AA7" s="85">
        <f>PI()/4*((100/(SQRT(V7)))*(100/(SQRT(V7))))</f>
        <v>19.634954084936208</v>
      </c>
      <c r="AB7" s="85">
        <f>(100/(SQRT(V7)))/2</f>
        <v>2.5</v>
      </c>
      <c r="AC7" s="85">
        <f>AB7/Y7</f>
        <v>0.16891891891891891</v>
      </c>
      <c r="AD7" s="85">
        <v>7</v>
      </c>
      <c r="AE7" s="85">
        <v>3.6</v>
      </c>
    </row>
    <row r="8" spans="1:31">
      <c r="A8" s="85"/>
      <c r="C8" s="87"/>
      <c r="D8" s="78"/>
      <c r="E8" s="77"/>
      <c r="G8" s="85"/>
      <c r="H8" s="85"/>
      <c r="I8" s="85"/>
      <c r="J8" s="85"/>
      <c r="L8" s="81"/>
      <c r="M8" s="77"/>
      <c r="N8" s="78"/>
      <c r="O8" s="77"/>
      <c r="Q8" s="85"/>
      <c r="R8" s="85"/>
      <c r="S8" s="85"/>
      <c r="T8" s="85"/>
      <c r="V8" s="81"/>
      <c r="W8" s="77"/>
      <c r="X8" s="78"/>
      <c r="Y8" s="77"/>
      <c r="AA8" s="85"/>
      <c r="AB8" s="85"/>
      <c r="AC8" s="85"/>
      <c r="AD8" s="85"/>
      <c r="AE8" s="85"/>
    </row>
    <row r="9" spans="1:31">
      <c r="A9" s="85">
        <v>15</v>
      </c>
      <c r="B9">
        <v>261</v>
      </c>
      <c r="C9" s="87">
        <v>24.7</v>
      </c>
      <c r="D9" s="78">
        <v>16.2</v>
      </c>
      <c r="E9" s="77">
        <v>28.1</v>
      </c>
      <c r="F9">
        <v>0.42</v>
      </c>
      <c r="G9" s="85">
        <f>PI()/4*((100/(SQRT(B9)))*(100/(SQRT(B9))))</f>
        <v>30.091883655074653</v>
      </c>
      <c r="H9" s="85">
        <f>(100/(SQRT(B9)))/2</f>
        <v>3.0949223029508648</v>
      </c>
      <c r="I9" s="85">
        <f>H9/E9</f>
        <v>0.11013958373490622</v>
      </c>
      <c r="J9" s="85">
        <v>24.4</v>
      </c>
      <c r="K9">
        <v>12.7</v>
      </c>
      <c r="L9" s="81">
        <v>297</v>
      </c>
      <c r="M9" s="77">
        <v>22.3</v>
      </c>
      <c r="N9" s="78">
        <v>14.6</v>
      </c>
      <c r="O9" s="77">
        <v>25</v>
      </c>
      <c r="P9">
        <v>0.42</v>
      </c>
      <c r="Q9" s="85">
        <f>PI()/4*((100/(SQRT(L9)))*(100/(SQRT(L9))))</f>
        <v>26.444382605974688</v>
      </c>
      <c r="R9" s="85">
        <f>(100/(SQRT(L9)))/2</f>
        <v>2.9012942659282972</v>
      </c>
      <c r="S9" s="85">
        <f>R9/O9</f>
        <v>0.11605177063713189</v>
      </c>
      <c r="T9" s="85">
        <v>20.2</v>
      </c>
      <c r="U9">
        <v>10.1</v>
      </c>
      <c r="V9" s="81">
        <v>341</v>
      </c>
      <c r="W9" s="77">
        <v>19.8</v>
      </c>
      <c r="X9" s="78">
        <v>13.1</v>
      </c>
      <c r="Y9" s="77">
        <v>22.1</v>
      </c>
      <c r="Z9">
        <v>0.42</v>
      </c>
      <c r="AA9" s="85">
        <f>PI()/4*((100/(SQRT(V9)))*(100/(SQRT(V9))))</f>
        <v>23.032204205203765</v>
      </c>
      <c r="AB9" s="85">
        <f>(100/(SQRT(V9)))/2</f>
        <v>2.7076518053694119</v>
      </c>
      <c r="AC9" s="85">
        <f>AB9/Y9</f>
        <v>0.12251818123843491</v>
      </c>
      <c r="AD9" s="85">
        <v>15.8</v>
      </c>
      <c r="AE9" s="85">
        <v>7.7</v>
      </c>
    </row>
    <row r="10" spans="1:31">
      <c r="A10" s="85"/>
      <c r="C10" s="87"/>
      <c r="D10" s="78"/>
      <c r="E10" s="77"/>
      <c r="G10" s="85"/>
      <c r="H10" s="85"/>
      <c r="I10" s="85"/>
      <c r="J10" s="85"/>
      <c r="L10" s="81"/>
      <c r="M10" s="77"/>
      <c r="N10" s="78"/>
      <c r="O10" s="77"/>
      <c r="Q10" s="85"/>
      <c r="R10" s="85"/>
      <c r="S10" s="85"/>
      <c r="T10" s="85"/>
      <c r="V10" s="81"/>
      <c r="W10" s="77"/>
      <c r="X10" s="78"/>
      <c r="Y10" s="77"/>
      <c r="AA10" s="85"/>
      <c r="AB10" s="85"/>
      <c r="AC10" s="85"/>
      <c r="AD10" s="85"/>
      <c r="AE10" s="85"/>
    </row>
    <row r="11" spans="1:31">
      <c r="A11" s="85">
        <v>20</v>
      </c>
      <c r="B11" s="86">
        <v>201</v>
      </c>
      <c r="C11" s="87">
        <v>30</v>
      </c>
      <c r="D11" s="78">
        <v>18.5</v>
      </c>
      <c r="E11" s="77">
        <v>34.200000000000003</v>
      </c>
      <c r="F11">
        <v>0.42599999999999999</v>
      </c>
      <c r="G11" s="85">
        <f>PI()/4*((100/(SQRT(B11)))*(100/(SQRT(B11))))</f>
        <v>39.074535492410355</v>
      </c>
      <c r="H11" s="85">
        <f>(100/(SQRT(B11)))/2</f>
        <v>3.5267280792929911</v>
      </c>
      <c r="I11" s="85">
        <f>H11/E11</f>
        <v>0.10312070407289448</v>
      </c>
      <c r="J11" s="85">
        <v>22.8</v>
      </c>
      <c r="K11">
        <v>15.3</v>
      </c>
      <c r="L11" s="81">
        <v>227</v>
      </c>
      <c r="M11" s="77">
        <v>27.3</v>
      </c>
      <c r="N11" s="78">
        <v>16.600000000000001</v>
      </c>
      <c r="O11" s="77">
        <v>30.5</v>
      </c>
      <c r="P11">
        <v>0.42599999999999999</v>
      </c>
      <c r="Q11" s="85">
        <f>PI()/4*((100/(SQRT(L11)))*(100/(SQRT(L11))))</f>
        <v>34.59903803512988</v>
      </c>
      <c r="R11" s="85">
        <f>(100/(SQRT(L11)))/2</f>
        <v>3.3186165579998597</v>
      </c>
      <c r="S11" s="85">
        <f>R11/O11</f>
        <v>0.10880710026229048</v>
      </c>
      <c r="T11" s="85">
        <v>18.600000000000001</v>
      </c>
      <c r="U11">
        <v>12.3</v>
      </c>
      <c r="V11" s="81">
        <v>258</v>
      </c>
      <c r="W11" s="77">
        <v>24.4</v>
      </c>
      <c r="X11" s="78">
        <v>15</v>
      </c>
      <c r="Y11" s="77">
        <v>27.2</v>
      </c>
      <c r="Z11">
        <v>0.42599999999999999</v>
      </c>
      <c r="AA11" s="85">
        <f>PI()/4*((100/(SQRT(V11)))*(100/(SQRT(V11))))</f>
        <v>30.441789278970866</v>
      </c>
      <c r="AB11" s="85">
        <f>(100/(SQRT(V11)))/2</f>
        <v>3.1128640318234519</v>
      </c>
      <c r="AC11" s="85">
        <f>AB11/Y11</f>
        <v>0.11444353058174456</v>
      </c>
      <c r="AD11" s="85">
        <v>14.6</v>
      </c>
      <c r="AE11" s="85">
        <v>9.4</v>
      </c>
    </row>
    <row r="12" spans="1:31">
      <c r="A12" s="85"/>
      <c r="B12" s="86"/>
      <c r="C12" s="87"/>
      <c r="D12" s="78"/>
      <c r="E12" s="77"/>
      <c r="G12" s="85"/>
      <c r="H12" s="85"/>
      <c r="I12" s="85"/>
      <c r="J12" s="85"/>
      <c r="L12" s="81"/>
      <c r="M12" s="77"/>
      <c r="N12" s="78"/>
      <c r="O12" s="77"/>
      <c r="Q12" s="85"/>
      <c r="R12" s="85"/>
      <c r="S12" s="85"/>
      <c r="T12" s="85"/>
      <c r="V12" s="81"/>
      <c r="W12" s="77"/>
      <c r="X12" s="78"/>
      <c r="Y12" s="77"/>
      <c r="AA12" s="85"/>
      <c r="AB12" s="85"/>
      <c r="AC12" s="85"/>
      <c r="AD12" s="85"/>
      <c r="AE12" s="85"/>
    </row>
    <row r="13" spans="1:31">
      <c r="A13" s="85">
        <v>25</v>
      </c>
      <c r="B13" s="86">
        <v>163</v>
      </c>
      <c r="C13" s="87">
        <v>33.700000000000003</v>
      </c>
      <c r="D13" s="78">
        <v>19.8</v>
      </c>
      <c r="E13" s="77">
        <v>39.299999999999997</v>
      </c>
      <c r="F13">
        <v>0.43</v>
      </c>
      <c r="G13" s="85">
        <f>PI()/4*((100/(SQRT(B13)))*(100/(SQRT(B13))))</f>
        <v>48.183936404751435</v>
      </c>
      <c r="H13" s="85">
        <f>(100/(SQRT(B13)))/2</f>
        <v>3.916302249939787</v>
      </c>
      <c r="I13" s="85">
        <f>H13/E13</f>
        <v>9.9651456741470412E-2</v>
      </c>
      <c r="J13" s="85">
        <v>19.8</v>
      </c>
      <c r="K13">
        <v>16.2</v>
      </c>
      <c r="L13" s="81">
        <v>184</v>
      </c>
      <c r="M13" s="77">
        <v>30.9</v>
      </c>
      <c r="N13" s="78">
        <v>17.600000000000001</v>
      </c>
      <c r="O13" s="77">
        <v>34.9</v>
      </c>
      <c r="P13">
        <v>0.43</v>
      </c>
      <c r="Q13" s="85">
        <f>PI()/4*((100/(SQRT(L13)))*(100/(SQRT(L13))))</f>
        <v>42.684682793339583</v>
      </c>
      <c r="R13" s="85">
        <f>(100/(SQRT(L13)))/2</f>
        <v>3.6860489038724285</v>
      </c>
      <c r="S13" s="85">
        <f>R13/O13</f>
        <v>0.10561744710236184</v>
      </c>
      <c r="T13" s="85">
        <v>16</v>
      </c>
      <c r="U13">
        <v>13</v>
      </c>
      <c r="V13" s="81">
        <v>208</v>
      </c>
      <c r="W13" s="77">
        <v>27.5</v>
      </c>
      <c r="X13" s="78">
        <v>15.7</v>
      </c>
      <c r="Y13" s="77">
        <v>31</v>
      </c>
      <c r="Z13">
        <v>0.43</v>
      </c>
      <c r="AA13" s="85">
        <f>PI()/4*((100/(SQRT(V13)))*(100/(SQRT(V13))))</f>
        <v>37.759527086415787</v>
      </c>
      <c r="AB13" s="85">
        <f>(100/(SQRT(V13)))/2</f>
        <v>3.466876226407682</v>
      </c>
      <c r="AC13" s="85">
        <f>AB13/Y13</f>
        <v>0.11183471698089296</v>
      </c>
      <c r="AD13" s="85">
        <v>11.8</v>
      </c>
      <c r="AE13" s="85">
        <v>9.9</v>
      </c>
    </row>
    <row r="14" spans="1:31">
      <c r="A14" s="85"/>
      <c r="B14" s="86"/>
      <c r="C14" s="87"/>
      <c r="D14" s="78"/>
      <c r="E14" s="77"/>
      <c r="G14" s="85"/>
      <c r="H14" s="85"/>
      <c r="I14" s="85"/>
      <c r="J14" s="85"/>
      <c r="L14" s="81"/>
      <c r="M14" s="77"/>
      <c r="N14" s="78"/>
      <c r="O14" s="77"/>
      <c r="Q14" s="85"/>
      <c r="R14" s="85"/>
      <c r="S14" s="85"/>
      <c r="T14" s="85"/>
      <c r="V14" s="81"/>
      <c r="W14" s="77"/>
      <c r="X14" s="78"/>
      <c r="Y14" s="77"/>
      <c r="AA14" s="85"/>
      <c r="AB14" s="85"/>
      <c r="AC14" s="85"/>
      <c r="AD14" s="85"/>
      <c r="AE14" s="85"/>
    </row>
    <row r="15" spans="1:31">
      <c r="A15" s="85">
        <v>30</v>
      </c>
      <c r="B15" s="86">
        <v>141</v>
      </c>
      <c r="C15" s="87">
        <v>36.200000000000003</v>
      </c>
      <c r="D15" s="78">
        <v>21.1</v>
      </c>
      <c r="E15" s="77">
        <v>43.6</v>
      </c>
      <c r="F15">
        <v>0.432</v>
      </c>
      <c r="G15" s="85">
        <f>PI()/4*((100/(SQRT(B15)))*(100/(SQRT(B15))))</f>
        <v>55.701997404074355</v>
      </c>
      <c r="H15" s="85">
        <f>(100/(SQRT(B15)))/2</f>
        <v>4.2107596053325951</v>
      </c>
      <c r="I15" s="85">
        <f>H15/E15</f>
        <v>9.6577055168178785E-2</v>
      </c>
      <c r="J15" s="85">
        <v>16.2</v>
      </c>
      <c r="K15">
        <v>16.2</v>
      </c>
      <c r="L15" s="81">
        <v>159</v>
      </c>
      <c r="M15" s="77">
        <v>33.5</v>
      </c>
      <c r="N15" s="78">
        <v>18.600000000000001</v>
      </c>
      <c r="O15" s="77">
        <v>38.6</v>
      </c>
      <c r="P15">
        <v>0.432</v>
      </c>
      <c r="Q15" s="85">
        <f>PI()/4*((100/(SQRT(L15)))*(100/(SQRT(L15))))</f>
        <v>49.396110905499889</v>
      </c>
      <c r="R15" s="85">
        <f>(100/(SQRT(L15)))/2</f>
        <v>3.9652579285907206</v>
      </c>
      <c r="S15" s="85">
        <f>R15/O15</f>
        <v>0.10272688934172851</v>
      </c>
      <c r="T15" s="85">
        <v>13</v>
      </c>
      <c r="U15">
        <v>13</v>
      </c>
      <c r="V15" s="81">
        <v>179</v>
      </c>
      <c r="W15" s="77">
        <v>29.9</v>
      </c>
      <c r="X15" s="78">
        <v>16.2</v>
      </c>
      <c r="Y15" s="77">
        <v>33.9</v>
      </c>
      <c r="Z15">
        <v>0.432</v>
      </c>
      <c r="AA15" s="85">
        <f>PI()/4*((100/(SQRT(V15)))*(100/(SQRT(V15))))</f>
        <v>43.87699236857253</v>
      </c>
      <c r="AB15" s="85">
        <f>(100/(SQRT(V15)))/2</f>
        <v>3.7371754637596792</v>
      </c>
      <c r="AC15" s="85">
        <f>AB15/Y15</f>
        <v>0.1102411641227044</v>
      </c>
      <c r="AD15" s="85">
        <v>9.4</v>
      </c>
      <c r="AE15" s="85">
        <v>9.8000000000000007</v>
      </c>
    </row>
    <row r="16" spans="1:31">
      <c r="A16" s="85"/>
      <c r="B16" s="86"/>
      <c r="C16" s="87"/>
      <c r="D16" s="78"/>
      <c r="E16" s="77"/>
      <c r="G16" s="85"/>
      <c r="H16" s="85"/>
      <c r="I16" s="85"/>
      <c r="J16" s="85"/>
      <c r="L16" s="81"/>
      <c r="M16" s="77"/>
      <c r="N16" s="78"/>
      <c r="O16" s="77"/>
      <c r="Q16" s="85"/>
      <c r="R16" s="85"/>
      <c r="S16" s="85"/>
      <c r="T16" s="85"/>
      <c r="V16" s="81"/>
      <c r="W16" s="77"/>
      <c r="X16" s="78"/>
      <c r="Y16" s="77"/>
      <c r="AA16" s="85"/>
      <c r="AB16" s="85"/>
      <c r="AC16" s="85"/>
      <c r="AD16" s="85"/>
      <c r="AE16" s="85"/>
    </row>
    <row r="17" spans="1:31">
      <c r="A17" s="85">
        <v>35</v>
      </c>
      <c r="B17" s="86">
        <v>127</v>
      </c>
      <c r="C17" s="87">
        <v>37.9</v>
      </c>
      <c r="D17" s="78">
        <v>22.1</v>
      </c>
      <c r="E17" s="77">
        <v>47.1</v>
      </c>
      <c r="F17">
        <v>0.433</v>
      </c>
      <c r="G17" s="85">
        <f>PI()/4*((100/(SQRT(B17)))*(100/(SQRT(B17))))</f>
        <v>61.842375070665234</v>
      </c>
      <c r="H17" s="85">
        <f>(100/(SQRT(B17)))/2</f>
        <v>4.4367825470805693</v>
      </c>
      <c r="I17" s="85">
        <f>H17/E17</f>
        <v>9.4199204821243512E-2</v>
      </c>
      <c r="J17" s="85">
        <v>12.8</v>
      </c>
      <c r="K17">
        <v>15.7</v>
      </c>
      <c r="L17" s="81">
        <v>143</v>
      </c>
      <c r="M17" s="77">
        <v>35</v>
      </c>
      <c r="N17" s="78">
        <v>19.399999999999999</v>
      </c>
      <c r="O17" s="77">
        <v>41.6</v>
      </c>
      <c r="P17">
        <v>0.433</v>
      </c>
      <c r="Q17" s="85">
        <f>PI()/4*((100/(SQRT(L17)))*(100/(SQRT(L17))))</f>
        <v>54.92294848933205</v>
      </c>
      <c r="R17" s="85">
        <f>(100/(SQRT(L17)))/2</f>
        <v>4.1812100500354541</v>
      </c>
      <c r="S17" s="85">
        <f>R17/O17</f>
        <v>0.10050985697200611</v>
      </c>
      <c r="T17" s="85">
        <v>10</v>
      </c>
      <c r="U17">
        <v>12.6</v>
      </c>
      <c r="V17" s="81">
        <v>160</v>
      </c>
      <c r="W17" s="77">
        <v>31.4</v>
      </c>
      <c r="X17" s="78">
        <v>16.600000000000001</v>
      </c>
      <c r="Y17" s="77">
        <v>36.299999999999997</v>
      </c>
      <c r="Z17">
        <v>0.433</v>
      </c>
      <c r="AA17" s="85">
        <f>PI()/4*((100/(SQRT(V17)))*(100/(SQRT(V17))))</f>
        <v>49.087385212340514</v>
      </c>
      <c r="AB17" s="85">
        <f>(100/(SQRT(V17)))/2</f>
        <v>3.9528470752104741</v>
      </c>
      <c r="AC17" s="85">
        <f>AB17/Y17</f>
        <v>0.1088938588212252</v>
      </c>
      <c r="AD17" s="85">
        <v>7.4</v>
      </c>
      <c r="AE17" s="85">
        <v>9.5</v>
      </c>
    </row>
    <row r="18" spans="1:31">
      <c r="A18" s="85"/>
      <c r="B18" s="86"/>
      <c r="C18" s="87"/>
      <c r="D18" s="78"/>
      <c r="E18" s="77"/>
      <c r="G18" s="85"/>
      <c r="H18" s="85"/>
      <c r="I18" s="85"/>
      <c r="J18" s="85"/>
      <c r="L18" s="81"/>
      <c r="M18" s="77"/>
      <c r="N18" s="78"/>
      <c r="O18" s="77"/>
      <c r="Q18" s="85"/>
      <c r="R18" s="85"/>
      <c r="S18" s="85"/>
      <c r="T18" s="85"/>
      <c r="V18" s="81"/>
      <c r="W18" s="77"/>
      <c r="X18" s="78"/>
      <c r="Y18" s="77"/>
      <c r="AA18" s="85"/>
      <c r="AB18" s="85"/>
      <c r="AC18" s="85"/>
      <c r="AD18" s="85"/>
      <c r="AE18" s="85"/>
    </row>
    <row r="19" spans="1:31">
      <c r="A19" s="85">
        <v>40</v>
      </c>
      <c r="B19" s="86">
        <v>117</v>
      </c>
      <c r="C19" s="87">
        <v>39.1</v>
      </c>
      <c r="D19" s="78">
        <v>23</v>
      </c>
      <c r="E19" s="77">
        <v>50</v>
      </c>
      <c r="F19">
        <v>0.434</v>
      </c>
      <c r="G19" s="85">
        <f>PI()/4*((100/(SQRT(B19)))*(100/(SQRT(B19))))</f>
        <v>67.128048153628058</v>
      </c>
      <c r="H19" s="85">
        <f>(100/(SQRT(B19)))/2</f>
        <v>4.6225016352102424</v>
      </c>
      <c r="I19" s="85">
        <f>H19/E19</f>
        <v>9.2450032704204849E-2</v>
      </c>
      <c r="J19" s="85">
        <v>10.199999999999999</v>
      </c>
      <c r="K19">
        <v>15</v>
      </c>
      <c r="L19" s="81">
        <v>132</v>
      </c>
      <c r="M19" s="77">
        <v>36.200000000000003</v>
      </c>
      <c r="N19" s="78">
        <v>20</v>
      </c>
      <c r="O19" s="77">
        <v>43.9</v>
      </c>
      <c r="P19">
        <v>0.434</v>
      </c>
      <c r="Q19" s="85">
        <f>PI()/4*((100/(SQRT(L19)))*(100/(SQRT(L19))))</f>
        <v>59.499860863443054</v>
      </c>
      <c r="R19" s="85">
        <f>(100/(SQRT(L19)))/2</f>
        <v>4.3519413988924462</v>
      </c>
      <c r="S19" s="85">
        <f>R19/O19</f>
        <v>9.9133061478187845E-2</v>
      </c>
      <c r="T19" s="85">
        <v>8</v>
      </c>
      <c r="U19">
        <v>12</v>
      </c>
      <c r="V19" s="81">
        <v>148</v>
      </c>
      <c r="W19" s="77">
        <v>32.5</v>
      </c>
      <c r="X19" s="78">
        <v>17</v>
      </c>
      <c r="Y19" s="77">
        <v>38.200000000000003</v>
      </c>
      <c r="Z19">
        <v>0.434</v>
      </c>
      <c r="AA19" s="85">
        <f>PI()/4*((100/(SQRT(V19)))*(100/(SQRT(V19))))</f>
        <v>53.067443472800569</v>
      </c>
      <c r="AB19" s="85">
        <f>(100/(SQRT(V19)))/2</f>
        <v>4.1099746826339327</v>
      </c>
      <c r="AC19" s="85">
        <f>AB19/Y19</f>
        <v>0.1075909602783752</v>
      </c>
      <c r="AD19" s="85">
        <v>5.8</v>
      </c>
      <c r="AE19" s="85">
        <v>9</v>
      </c>
    </row>
    <row r="20" spans="1:31">
      <c r="A20" s="85"/>
      <c r="B20" s="86"/>
      <c r="C20" s="87"/>
      <c r="D20" s="78"/>
      <c r="E20" s="77"/>
      <c r="G20" s="85"/>
      <c r="H20" s="85"/>
      <c r="I20" s="85"/>
      <c r="J20" s="85"/>
      <c r="L20" s="81"/>
      <c r="M20" s="77"/>
      <c r="N20" s="78"/>
      <c r="O20" s="77"/>
      <c r="Q20" s="85"/>
      <c r="R20" s="85"/>
      <c r="S20" s="85"/>
      <c r="T20" s="85"/>
      <c r="V20" s="81"/>
      <c r="W20" s="77"/>
      <c r="X20" s="78"/>
      <c r="Y20" s="77"/>
      <c r="AA20" s="85"/>
      <c r="AB20" s="85"/>
      <c r="AC20" s="85"/>
      <c r="AD20" s="85"/>
      <c r="AE20" s="85"/>
    </row>
    <row r="21" spans="1:31">
      <c r="A21" s="85">
        <v>45</v>
      </c>
      <c r="B21" s="86">
        <v>110</v>
      </c>
      <c r="C21" s="87">
        <v>39.9</v>
      </c>
      <c r="D21" s="78">
        <v>23.5</v>
      </c>
      <c r="E21" s="77">
        <v>52.2</v>
      </c>
      <c r="F21">
        <v>0.434</v>
      </c>
      <c r="G21" s="85">
        <f>PI()/4*((100/(SQRT(B21)))*(100/(SQRT(B21))))</f>
        <v>71.399833036131653</v>
      </c>
      <c r="H21" s="85">
        <f>(100/(SQRT(B21)))/2</f>
        <v>4.7673129462279613</v>
      </c>
      <c r="I21" s="85">
        <f>H21/E21</f>
        <v>9.1327834218926457E-2</v>
      </c>
      <c r="J21" s="85">
        <v>7.4</v>
      </c>
      <c r="K21">
        <v>14.2</v>
      </c>
      <c r="L21" s="81">
        <v>124</v>
      </c>
      <c r="M21" s="77">
        <v>36.9</v>
      </c>
      <c r="N21" s="78">
        <v>20.399999999999999</v>
      </c>
      <c r="O21" s="77">
        <v>45.8</v>
      </c>
      <c r="P21">
        <v>0.434</v>
      </c>
      <c r="Q21" s="85">
        <f>PI()/4*((100/(SQRT(L21)))*(100/(SQRT(L21))))</f>
        <v>63.338561564310368</v>
      </c>
      <c r="R21" s="85">
        <f>(100/(SQRT(L21)))/2</f>
        <v>4.4901325506693732</v>
      </c>
      <c r="S21" s="85">
        <f>R21/O21</f>
        <v>9.8037828617235229E-2</v>
      </c>
      <c r="T21" s="85">
        <v>5.8</v>
      </c>
      <c r="U21">
        <v>11.3</v>
      </c>
      <c r="V21" s="81">
        <v>139</v>
      </c>
      <c r="W21" s="77">
        <v>33.299999999999997</v>
      </c>
      <c r="X21" s="78">
        <v>17.2</v>
      </c>
      <c r="Y21" s="77">
        <v>39.700000000000003</v>
      </c>
      <c r="Z21">
        <v>0.434</v>
      </c>
      <c r="AA21" s="85">
        <f>PI()/4*((100/(SQRT(V21)))*(100/(SQRT(V21))))</f>
        <v>56.50346499262217</v>
      </c>
      <c r="AB21" s="85">
        <f>(100/(SQRT(V21)))/2</f>
        <v>4.2409446483998545</v>
      </c>
      <c r="AC21" s="85">
        <f>AB21/Y21</f>
        <v>0.10682480222669657</v>
      </c>
      <c r="AD21" s="85">
        <v>4.2</v>
      </c>
      <c r="AE21" s="85">
        <v>8.5</v>
      </c>
    </row>
    <row r="22" spans="1:31">
      <c r="A22" s="85"/>
      <c r="B22" s="86"/>
      <c r="C22" s="87"/>
      <c r="D22" s="78"/>
      <c r="E22" s="77"/>
      <c r="G22" s="85"/>
      <c r="H22" s="85"/>
      <c r="I22" s="85"/>
      <c r="J22" s="85"/>
      <c r="L22" s="81"/>
      <c r="M22" s="77"/>
      <c r="N22" s="78"/>
      <c r="O22" s="77"/>
      <c r="Q22" s="85"/>
      <c r="R22" s="85"/>
      <c r="S22" s="85"/>
      <c r="T22" s="85"/>
      <c r="V22" s="81"/>
      <c r="W22" s="77"/>
      <c r="X22" s="78"/>
      <c r="Y22" s="77"/>
      <c r="AA22" s="85"/>
      <c r="AB22" s="85"/>
      <c r="AC22" s="85"/>
      <c r="AD22" s="85"/>
      <c r="AE22" s="85"/>
    </row>
    <row r="23" spans="1:31">
      <c r="A23" s="85">
        <v>50</v>
      </c>
      <c r="B23" s="86">
        <v>106</v>
      </c>
      <c r="C23" s="87">
        <v>40.5</v>
      </c>
      <c r="D23" s="78">
        <v>23.7</v>
      </c>
      <c r="E23" s="77">
        <v>53.4</v>
      </c>
      <c r="F23">
        <v>0.435</v>
      </c>
      <c r="G23" s="85">
        <f>PI()/4*((100/(SQRT(B23)))*(100/(SQRT(B23))))</f>
        <v>74.094166358249822</v>
      </c>
      <c r="H23" s="85">
        <f>(100/(SQRT(B23)))/2</f>
        <v>4.8564293117863206</v>
      </c>
      <c r="I23" s="85">
        <f>H23/E23</f>
        <v>9.0944369134575292E-2</v>
      </c>
      <c r="J23" s="85">
        <v>5</v>
      </c>
      <c r="K23">
        <v>13.2</v>
      </c>
      <c r="L23" s="81">
        <v>120</v>
      </c>
      <c r="M23" s="77">
        <v>37.5</v>
      </c>
      <c r="N23" s="78">
        <v>20.6</v>
      </c>
      <c r="O23" s="77">
        <v>46.8</v>
      </c>
      <c r="P23">
        <v>0.435</v>
      </c>
      <c r="Q23" s="85">
        <f>PI()/4*((100/(SQRT(L23)))*(100/(SQRT(L23))))</f>
        <v>65.449846949787357</v>
      </c>
      <c r="R23" s="85">
        <f>(100/(SQRT(L23)))/2</f>
        <v>4.5643546458763842</v>
      </c>
      <c r="S23" s="85">
        <f>R23/O23</f>
        <v>9.7528945424709065E-2</v>
      </c>
      <c r="T23" s="85">
        <v>3.8</v>
      </c>
      <c r="U23">
        <v>10.6</v>
      </c>
      <c r="V23" s="81">
        <v>133</v>
      </c>
      <c r="W23" s="77">
        <v>33.700000000000003</v>
      </c>
      <c r="X23" s="78">
        <v>17.3</v>
      </c>
      <c r="Y23" s="77">
        <v>40.700000000000003</v>
      </c>
      <c r="Z23">
        <v>0.435</v>
      </c>
      <c r="AA23" s="85">
        <f>PI()/4*((100/(SQRT(V23)))*(100/(SQRT(V23))))</f>
        <v>59.05249348852994</v>
      </c>
      <c r="AB23" s="85">
        <f>(100/(SQRT(V23)))/2</f>
        <v>4.3355498476205998</v>
      </c>
      <c r="AC23" s="85">
        <f>AB23/Y23</f>
        <v>0.10652456628060442</v>
      </c>
      <c r="AD23" s="85">
        <v>2.6</v>
      </c>
      <c r="AE23" s="85">
        <v>7.9</v>
      </c>
    </row>
    <row r="24" spans="1:31">
      <c r="G24">
        <f>AVERAGE(G5:G23)</f>
        <v>49.196832099429926</v>
      </c>
      <c r="H24">
        <f>AVERAGE(H5:H23)</f>
        <v>3.8747407481230476</v>
      </c>
      <c r="I24">
        <f>AVERAGE(I5:I23)</f>
        <v>0.12783941164352752</v>
      </c>
      <c r="Q24">
        <f>AVERAGE(Q5:Q23)</f>
        <v>43.716867005427773</v>
      </c>
      <c r="R24">
        <f>AVERAGE(R5:R23)</f>
        <v>3.6556889289988086</v>
      </c>
      <c r="S24">
        <f>AVERAGE(S5:S23)</f>
        <v>0.1386654607075079</v>
      </c>
      <c r="AA24">
        <f>AVERAGE(AA5:AA23)</f>
        <v>39.209120827532857</v>
      </c>
      <c r="AB24">
        <f>AVERAGE(AB5:AB23)</f>
        <v>3.4663883781225087</v>
      </c>
      <c r="AC24">
        <f>AVERAGE(AC5:AC23)</f>
        <v>0.152075366241256</v>
      </c>
    </row>
    <row r="25" spans="1:31">
      <c r="A25" t="s">
        <v>1216</v>
      </c>
    </row>
    <row r="27" spans="1:31">
      <c r="A27" t="s">
        <v>1219</v>
      </c>
      <c r="F27">
        <f>(I24+S24+AC24)/3</f>
        <v>0.13952674619743047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opLeftCell="A39" workbookViewId="0">
      <selection activeCell="F66" sqref="F66"/>
    </sheetView>
  </sheetViews>
  <sheetFormatPr baseColWidth="10" defaultRowHeight="12.75"/>
  <sheetData>
    <row r="1" spans="1:5">
      <c r="A1" t="s">
        <v>1220</v>
      </c>
    </row>
    <row r="2" spans="1:5">
      <c r="D2" t="s">
        <v>1226</v>
      </c>
    </row>
    <row r="3" spans="1:5">
      <c r="A3" t="s">
        <v>1221</v>
      </c>
      <c r="B3" t="s">
        <v>1222</v>
      </c>
      <c r="D3" t="s">
        <v>1179</v>
      </c>
      <c r="E3" t="s">
        <v>1227</v>
      </c>
    </row>
    <row r="4" spans="1:5">
      <c r="A4">
        <v>2</v>
      </c>
      <c r="B4">
        <v>5</v>
      </c>
      <c r="D4">
        <f t="shared" ref="D4:D9" si="0">A4*2.54</f>
        <v>5.08</v>
      </c>
      <c r="E4">
        <f t="shared" ref="E4:E9" si="1">(B4*30.48)/100</f>
        <v>1.524</v>
      </c>
    </row>
    <row r="5" spans="1:5">
      <c r="A5">
        <v>5</v>
      </c>
      <c r="B5">
        <v>7</v>
      </c>
      <c r="D5">
        <f t="shared" si="0"/>
        <v>12.7</v>
      </c>
      <c r="E5">
        <f t="shared" si="1"/>
        <v>2.1335999999999999</v>
      </c>
    </row>
    <row r="6" spans="1:5">
      <c r="A6">
        <v>7</v>
      </c>
      <c r="B6">
        <v>9</v>
      </c>
      <c r="D6">
        <f t="shared" si="0"/>
        <v>17.78</v>
      </c>
      <c r="E6">
        <f t="shared" si="1"/>
        <v>2.7431999999999999</v>
      </c>
    </row>
    <row r="7" spans="1:5">
      <c r="A7">
        <v>12</v>
      </c>
      <c r="B7">
        <v>12</v>
      </c>
      <c r="D7">
        <f t="shared" si="0"/>
        <v>30.48</v>
      </c>
      <c r="E7">
        <f t="shared" si="1"/>
        <v>3.6576</v>
      </c>
    </row>
    <row r="8" spans="1:5">
      <c r="A8">
        <v>13</v>
      </c>
      <c r="B8">
        <v>13</v>
      </c>
      <c r="D8">
        <f t="shared" si="0"/>
        <v>33.020000000000003</v>
      </c>
      <c r="E8">
        <f t="shared" si="1"/>
        <v>3.9624000000000001</v>
      </c>
    </row>
    <row r="9" spans="1:5">
      <c r="A9">
        <v>18</v>
      </c>
      <c r="B9">
        <v>14</v>
      </c>
      <c r="D9">
        <f t="shared" si="0"/>
        <v>45.72</v>
      </c>
      <c r="E9">
        <f t="shared" si="1"/>
        <v>4.2671999999999999</v>
      </c>
    </row>
    <row r="10" spans="1:5">
      <c r="A10" t="s">
        <v>1223</v>
      </c>
      <c r="B10" t="s">
        <v>1224</v>
      </c>
    </row>
    <row r="13" spans="1:5">
      <c r="A13" t="s">
        <v>1225</v>
      </c>
    </row>
    <row r="34" spans="1:5">
      <c r="A34" t="s">
        <v>1148</v>
      </c>
    </row>
    <row r="35" spans="1:5">
      <c r="A35" t="s">
        <v>1149</v>
      </c>
      <c r="B35" t="s">
        <v>1150</v>
      </c>
      <c r="C35" t="s">
        <v>1151</v>
      </c>
      <c r="D35" t="s">
        <v>1152</v>
      </c>
      <c r="E35" t="s">
        <v>1153</v>
      </c>
    </row>
    <row r="36" spans="1:5">
      <c r="A36">
        <v>2.5</v>
      </c>
      <c r="E36">
        <f>A36*2*0.13952675</f>
        <v>0.69763375000000005</v>
      </c>
    </row>
    <row r="37" spans="1:5">
      <c r="A37">
        <v>5</v>
      </c>
      <c r="D37">
        <v>1.524</v>
      </c>
      <c r="E37">
        <f t="shared" ref="E37:E55" si="2">A37*2*0.13952675</f>
        <v>1.3952675000000001</v>
      </c>
    </row>
    <row r="38" spans="1:5">
      <c r="A38">
        <v>7.5</v>
      </c>
      <c r="E38">
        <f t="shared" si="2"/>
        <v>2.0929012500000002</v>
      </c>
    </row>
    <row r="39" spans="1:5">
      <c r="A39">
        <v>10</v>
      </c>
      <c r="E39">
        <f t="shared" si="2"/>
        <v>2.7905350000000002</v>
      </c>
    </row>
    <row r="40" spans="1:5">
      <c r="A40">
        <v>12.5</v>
      </c>
      <c r="B40">
        <f>(4.6305+1.2798*(A40/2.54))*0.3048</f>
        <v>3.3310764000000006</v>
      </c>
      <c r="C40">
        <f>(2.5515+1.2029*(A40/2.54))*0.3048</f>
        <v>2.5820472000000003</v>
      </c>
      <c r="D40">
        <v>2.1335999999999999</v>
      </c>
      <c r="E40">
        <f t="shared" si="2"/>
        <v>3.4881687500000003</v>
      </c>
    </row>
    <row r="41" spans="1:5">
      <c r="A41">
        <v>15</v>
      </c>
      <c r="B41">
        <f t="shared" ref="B41:B55" si="3">(4.6305+1.2798*(A41/2.54))*0.3048</f>
        <v>3.7150164000000001</v>
      </c>
      <c r="C41">
        <f t="shared" ref="C41:C55" si="4">(2.5515+1.2029*(A41/2.54))*0.3048</f>
        <v>2.9429172000000006</v>
      </c>
      <c r="E41">
        <f t="shared" si="2"/>
        <v>4.1858025000000003</v>
      </c>
    </row>
    <row r="42" spans="1:5">
      <c r="A42">
        <v>17.5</v>
      </c>
      <c r="B42">
        <f t="shared" si="3"/>
        <v>4.0989564000000005</v>
      </c>
      <c r="C42">
        <f t="shared" si="4"/>
        <v>3.3037872000000004</v>
      </c>
      <c r="D42">
        <v>2.7431999999999999</v>
      </c>
      <c r="E42">
        <f t="shared" si="2"/>
        <v>4.8834362499999999</v>
      </c>
    </row>
    <row r="43" spans="1:5">
      <c r="A43">
        <v>20</v>
      </c>
      <c r="B43">
        <f t="shared" si="3"/>
        <v>4.4828964000000004</v>
      </c>
      <c r="C43">
        <f t="shared" si="4"/>
        <v>3.6646572000000011</v>
      </c>
      <c r="E43">
        <f t="shared" si="2"/>
        <v>5.5810700000000004</v>
      </c>
    </row>
    <row r="44" spans="1:5">
      <c r="A44">
        <v>22.5</v>
      </c>
      <c r="B44">
        <f t="shared" si="3"/>
        <v>4.8668364000000004</v>
      </c>
      <c r="C44">
        <f t="shared" si="4"/>
        <v>4.0255272</v>
      </c>
      <c r="E44">
        <f t="shared" si="2"/>
        <v>6.27870375</v>
      </c>
    </row>
    <row r="45" spans="1:5">
      <c r="A45">
        <v>25</v>
      </c>
      <c r="B45">
        <f t="shared" si="3"/>
        <v>5.2507764000000003</v>
      </c>
      <c r="C45">
        <f t="shared" si="4"/>
        <v>4.3863972000000011</v>
      </c>
      <c r="E45">
        <f t="shared" si="2"/>
        <v>6.9763375000000005</v>
      </c>
    </row>
    <row r="46" spans="1:5">
      <c r="A46">
        <v>27.5</v>
      </c>
      <c r="B46">
        <f t="shared" si="3"/>
        <v>5.6347164000000003</v>
      </c>
      <c r="C46">
        <f t="shared" si="4"/>
        <v>4.7472672000000005</v>
      </c>
      <c r="E46">
        <f t="shared" si="2"/>
        <v>7.6739712500000001</v>
      </c>
    </row>
    <row r="47" spans="1:5">
      <c r="A47">
        <v>30</v>
      </c>
      <c r="B47">
        <f t="shared" si="3"/>
        <v>6.0186564000000011</v>
      </c>
      <c r="C47">
        <f t="shared" si="4"/>
        <v>5.1081372000000007</v>
      </c>
      <c r="D47">
        <v>3.6576</v>
      </c>
      <c r="E47">
        <f t="shared" si="2"/>
        <v>8.3716050000000006</v>
      </c>
    </row>
    <row r="48" spans="1:5">
      <c r="A48">
        <v>32.5</v>
      </c>
      <c r="B48">
        <f t="shared" si="3"/>
        <v>6.4025964000000011</v>
      </c>
      <c r="C48">
        <f t="shared" si="4"/>
        <v>5.469007200000001</v>
      </c>
      <c r="D48">
        <v>3.9624000000000001</v>
      </c>
      <c r="E48">
        <f t="shared" si="2"/>
        <v>9.0692387500000002</v>
      </c>
    </row>
    <row r="49" spans="1:5">
      <c r="A49">
        <v>35</v>
      </c>
      <c r="B49">
        <f t="shared" si="3"/>
        <v>6.786536400000001</v>
      </c>
      <c r="C49">
        <f t="shared" si="4"/>
        <v>5.8298772000000003</v>
      </c>
      <c r="E49">
        <f t="shared" si="2"/>
        <v>9.7668724999999998</v>
      </c>
    </row>
    <row r="50" spans="1:5">
      <c r="A50">
        <v>37.5</v>
      </c>
      <c r="B50">
        <f t="shared" si="3"/>
        <v>7.1704764000000001</v>
      </c>
      <c r="C50">
        <f t="shared" si="4"/>
        <v>6.1907472000000006</v>
      </c>
      <c r="E50">
        <f t="shared" si="2"/>
        <v>10.464506250000001</v>
      </c>
    </row>
    <row r="51" spans="1:5">
      <c r="A51">
        <v>40</v>
      </c>
      <c r="B51">
        <f t="shared" si="3"/>
        <v>7.5544164</v>
      </c>
      <c r="C51">
        <f t="shared" si="4"/>
        <v>6.5516172000000017</v>
      </c>
      <c r="E51">
        <f t="shared" si="2"/>
        <v>11.162140000000001</v>
      </c>
    </row>
    <row r="52" spans="1:5">
      <c r="A52">
        <v>42.5</v>
      </c>
      <c r="B52">
        <f t="shared" si="3"/>
        <v>7.9383564</v>
      </c>
      <c r="C52">
        <f t="shared" si="4"/>
        <v>6.9124872000000011</v>
      </c>
      <c r="E52">
        <f t="shared" si="2"/>
        <v>11.85977375</v>
      </c>
    </row>
    <row r="53" spans="1:5">
      <c r="A53">
        <v>45</v>
      </c>
      <c r="B53">
        <f t="shared" si="3"/>
        <v>8.322296399999999</v>
      </c>
      <c r="C53">
        <f t="shared" si="4"/>
        <v>7.2733572000000013</v>
      </c>
      <c r="D53">
        <v>4.2671999999999999</v>
      </c>
      <c r="E53">
        <f t="shared" si="2"/>
        <v>12.5574075</v>
      </c>
    </row>
    <row r="54" spans="1:5">
      <c r="A54">
        <v>47.5</v>
      </c>
      <c r="B54">
        <f t="shared" si="3"/>
        <v>8.7062364000000017</v>
      </c>
      <c r="C54">
        <f t="shared" si="4"/>
        <v>7.6342272000000007</v>
      </c>
      <c r="E54">
        <f t="shared" si="2"/>
        <v>13.25504125</v>
      </c>
    </row>
    <row r="55" spans="1:5">
      <c r="A55">
        <v>50</v>
      </c>
      <c r="B55">
        <f t="shared" si="3"/>
        <v>9.0901764000000007</v>
      </c>
      <c r="C55">
        <f t="shared" si="4"/>
        <v>7.9950972000000009</v>
      </c>
      <c r="E55">
        <f t="shared" si="2"/>
        <v>13.952675000000001</v>
      </c>
    </row>
    <row r="63" spans="1:5">
      <c r="A63" s="26" t="s">
        <v>317</v>
      </c>
    </row>
    <row r="64" spans="1:5">
      <c r="A64" t="s">
        <v>318</v>
      </c>
    </row>
    <row r="65" spans="1:9">
      <c r="A65" t="s">
        <v>327</v>
      </c>
    </row>
    <row r="66" spans="1:9">
      <c r="A66" t="s">
        <v>1179</v>
      </c>
      <c r="B66" t="s">
        <v>319</v>
      </c>
      <c r="C66" t="s">
        <v>320</v>
      </c>
      <c r="D66" t="s">
        <v>321</v>
      </c>
      <c r="E66" t="s">
        <v>326</v>
      </c>
      <c r="F66" t="s">
        <v>325</v>
      </c>
      <c r="G66" t="s">
        <v>322</v>
      </c>
      <c r="H66" t="s">
        <v>323</v>
      </c>
      <c r="I66" t="s">
        <v>324</v>
      </c>
    </row>
    <row r="67" spans="1:9">
      <c r="A67">
        <v>25</v>
      </c>
      <c r="B67">
        <v>21.3</v>
      </c>
      <c r="C67">
        <v>3.4</v>
      </c>
      <c r="D67">
        <v>1.5</v>
      </c>
      <c r="E67">
        <f>PI()*D67*D67</f>
        <v>7.0685834705770345</v>
      </c>
      <c r="F67">
        <v>0.25</v>
      </c>
      <c r="G67">
        <f>4/3 * (PI()) * (D67*D67)*(C67/2)</f>
        <v>16.022122533307943</v>
      </c>
      <c r="H67">
        <f>(G67*F67)/E67</f>
        <v>0.56666666666666665</v>
      </c>
      <c r="I67">
        <v>36</v>
      </c>
    </row>
    <row r="68" spans="1:9">
      <c r="A68">
        <v>43</v>
      </c>
      <c r="B68">
        <v>24</v>
      </c>
      <c r="C68">
        <v>6.5</v>
      </c>
      <c r="D68">
        <v>3</v>
      </c>
      <c r="E68">
        <f>PI()*D68*D68</f>
        <v>28.274333882308138</v>
      </c>
      <c r="F68">
        <v>0.44</v>
      </c>
      <c r="G68">
        <f>4/3 * (PI()) * (D68*D68)*(C68/2)</f>
        <v>122.52211349000193</v>
      </c>
      <c r="H68">
        <f>(G68*F68)/E68</f>
        <v>1.9066666666666667</v>
      </c>
      <c r="I68">
        <v>36</v>
      </c>
    </row>
    <row r="69" spans="1:9">
      <c r="A69">
        <v>62</v>
      </c>
      <c r="B69">
        <v>28.5</v>
      </c>
      <c r="C69">
        <v>8.9</v>
      </c>
      <c r="D69">
        <v>4.0999999999999996</v>
      </c>
      <c r="E69">
        <f>PI()*D69*D69</f>
        <v>52.81017250684441</v>
      </c>
      <c r="F69">
        <v>0.68</v>
      </c>
      <c r="G69">
        <f>4/3 * (PI()) * (D69*D69)*(C69/2)</f>
        <v>313.34035687394351</v>
      </c>
      <c r="H69">
        <f>(G69*F69)/E69</f>
        <v>4.0346666666666673</v>
      </c>
      <c r="I69">
        <v>36</v>
      </c>
    </row>
    <row r="70" spans="1:9">
      <c r="I70" t="s">
        <v>328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baseColWidth="10" defaultRowHeight="12.75"/>
  <sheetData>
    <row r="1" spans="1:3">
      <c r="A1" t="s">
        <v>620</v>
      </c>
    </row>
    <row r="3" spans="1:3">
      <c r="A3" t="s">
        <v>621</v>
      </c>
    </row>
    <row r="4" spans="1:3">
      <c r="B4" t="s">
        <v>1434</v>
      </c>
    </row>
    <row r="5" spans="1:3">
      <c r="A5" t="s">
        <v>297</v>
      </c>
      <c r="B5" t="s">
        <v>622</v>
      </c>
      <c r="C5" t="s">
        <v>623</v>
      </c>
    </row>
    <row r="6" spans="1:3">
      <c r="A6">
        <v>2</v>
      </c>
      <c r="B6">
        <v>0.1</v>
      </c>
      <c r="C6">
        <v>0.1</v>
      </c>
    </row>
    <row r="7" spans="1:3">
      <c r="A7">
        <v>3</v>
      </c>
      <c r="B7">
        <v>0.4</v>
      </c>
      <c r="C7" s="91" t="s">
        <v>1419</v>
      </c>
    </row>
    <row r="9" spans="1:3">
      <c r="A9" t="s">
        <v>624</v>
      </c>
    </row>
    <row r="10" spans="1:3">
      <c r="B10" t="s">
        <v>1434</v>
      </c>
    </row>
    <row r="11" spans="1:3">
      <c r="A11" t="s">
        <v>297</v>
      </c>
      <c r="B11" t="s">
        <v>622</v>
      </c>
      <c r="C11" t="s">
        <v>623</v>
      </c>
    </row>
    <row r="12" spans="1:3">
      <c r="A12">
        <v>1</v>
      </c>
      <c r="B12">
        <v>0.7</v>
      </c>
      <c r="C12">
        <v>0.5</v>
      </c>
    </row>
    <row r="13" spans="1:3">
      <c r="A13">
        <v>2</v>
      </c>
      <c r="B13">
        <v>0.5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D3" workbookViewId="0">
      <selection activeCell="J20" sqref="J20"/>
    </sheetView>
  </sheetViews>
  <sheetFormatPr baseColWidth="10" defaultRowHeight="12.75"/>
  <cols>
    <col min="1" max="1" width="20.85546875" style="2" bestFit="1" customWidth="1"/>
    <col min="2" max="2" width="4.5703125" style="2" bestFit="1" customWidth="1"/>
    <col min="3" max="3" width="47.140625" style="2" bestFit="1" customWidth="1"/>
    <col min="4" max="4" width="12.42578125" style="2" bestFit="1" customWidth="1"/>
    <col min="5" max="5" width="16.7109375" style="2" bestFit="1" customWidth="1"/>
    <col min="6" max="6" width="13.28515625" style="2" bestFit="1" customWidth="1"/>
    <col min="7" max="7" width="9.140625" style="2" customWidth="1"/>
    <col min="8" max="8" width="9.28515625" style="2" bestFit="1" customWidth="1"/>
    <col min="9" max="9" width="7.140625" style="2" bestFit="1" customWidth="1"/>
    <col min="10" max="16384" width="11.42578125" style="2"/>
  </cols>
  <sheetData>
    <row r="1" spans="1:10">
      <c r="A1" t="s">
        <v>1438</v>
      </c>
      <c r="B1" t="s">
        <v>1439</v>
      </c>
      <c r="C1" t="s">
        <v>1440</v>
      </c>
      <c r="D1" t="s">
        <v>1441</v>
      </c>
      <c r="E1" t="s">
        <v>1442</v>
      </c>
      <c r="F1" t="s">
        <v>1443</v>
      </c>
      <c r="G1" t="s">
        <v>1441</v>
      </c>
      <c r="H1" t="s">
        <v>1444</v>
      </c>
      <c r="I1" t="s">
        <v>1441</v>
      </c>
      <c r="J1"/>
    </row>
    <row r="2" spans="1:10">
      <c r="A2" t="s">
        <v>1445</v>
      </c>
      <c r="B2">
        <v>12</v>
      </c>
      <c r="C2" t="s">
        <v>1446</v>
      </c>
      <c r="D2" t="s">
        <v>1447</v>
      </c>
      <c r="E2"/>
      <c r="F2">
        <v>300</v>
      </c>
      <c r="G2" t="s">
        <v>1448</v>
      </c>
      <c r="H2">
        <v>100</v>
      </c>
      <c r="I2" t="s">
        <v>1449</v>
      </c>
      <c r="J2"/>
    </row>
    <row r="3" spans="1:10">
      <c r="A3" t="s">
        <v>1450</v>
      </c>
      <c r="B3">
        <v>15</v>
      </c>
      <c r="C3" t="s">
        <v>1446</v>
      </c>
      <c r="D3" t="s">
        <v>1447</v>
      </c>
      <c r="E3"/>
      <c r="F3">
        <v>200</v>
      </c>
      <c r="G3" t="s">
        <v>1448</v>
      </c>
      <c r="H3"/>
      <c r="I3"/>
      <c r="J3"/>
    </row>
    <row r="4" spans="1:10">
      <c r="A4" t="s">
        <v>1451</v>
      </c>
      <c r="B4">
        <v>10</v>
      </c>
      <c r="C4" t="s">
        <v>1452</v>
      </c>
      <c r="D4" t="s">
        <v>1447</v>
      </c>
      <c r="E4"/>
      <c r="F4">
        <v>300</v>
      </c>
      <c r="G4" t="s">
        <v>1448</v>
      </c>
      <c r="H4"/>
      <c r="I4"/>
      <c r="J4"/>
    </row>
    <row r="5" spans="1:10">
      <c r="A5" t="s">
        <v>1451</v>
      </c>
      <c r="B5">
        <v>20</v>
      </c>
      <c r="C5" t="s">
        <v>1453</v>
      </c>
      <c r="D5" t="s">
        <v>1447</v>
      </c>
      <c r="E5"/>
      <c r="F5"/>
      <c r="G5"/>
      <c r="H5"/>
      <c r="I5"/>
      <c r="J5"/>
    </row>
    <row r="6" spans="1:10">
      <c r="A6" t="s">
        <v>1454</v>
      </c>
      <c r="B6">
        <v>10</v>
      </c>
      <c r="C6" t="s">
        <v>1452</v>
      </c>
      <c r="D6" t="s">
        <v>1447</v>
      </c>
      <c r="E6"/>
      <c r="F6">
        <v>250</v>
      </c>
      <c r="G6" t="s">
        <v>1448</v>
      </c>
      <c r="H6">
        <v>150</v>
      </c>
      <c r="I6" t="s">
        <v>1449</v>
      </c>
      <c r="J6"/>
    </row>
    <row r="7" spans="1:10">
      <c r="A7" t="s">
        <v>1454</v>
      </c>
      <c r="B7">
        <v>30</v>
      </c>
      <c r="C7" t="s">
        <v>1453</v>
      </c>
      <c r="D7" t="s">
        <v>1447</v>
      </c>
      <c r="E7"/>
      <c r="F7"/>
      <c r="G7"/>
      <c r="H7"/>
      <c r="I7"/>
      <c r="J7"/>
    </row>
    <row r="8" spans="1:10">
      <c r="A8" t="s">
        <v>1455</v>
      </c>
      <c r="B8">
        <v>20</v>
      </c>
      <c r="C8" t="s">
        <v>1452</v>
      </c>
      <c r="D8" t="s">
        <v>1447</v>
      </c>
      <c r="E8"/>
      <c r="F8">
        <v>2000</v>
      </c>
      <c r="G8" t="s">
        <v>1448</v>
      </c>
      <c r="H8"/>
      <c r="I8" t="s">
        <v>1449</v>
      </c>
      <c r="J8" t="s">
        <v>1456</v>
      </c>
    </row>
    <row r="9" spans="1:10">
      <c r="A9" t="s">
        <v>1455</v>
      </c>
      <c r="B9">
        <v>40</v>
      </c>
      <c r="C9" t="s">
        <v>1453</v>
      </c>
      <c r="D9" t="s">
        <v>1447</v>
      </c>
      <c r="E9"/>
      <c r="F9"/>
      <c r="G9"/>
      <c r="H9"/>
      <c r="I9"/>
      <c r="J9"/>
    </row>
    <row r="10" spans="1:10">
      <c r="A10" t="s">
        <v>1457</v>
      </c>
      <c r="B10">
        <v>10</v>
      </c>
      <c r="C10" t="s">
        <v>1446</v>
      </c>
      <c r="D10" t="s">
        <v>1447</v>
      </c>
      <c r="E10"/>
      <c r="F10">
        <v>80</v>
      </c>
      <c r="G10" t="s">
        <v>1448</v>
      </c>
      <c r="H10"/>
      <c r="I10"/>
      <c r="J10"/>
    </row>
    <row r="11" spans="1:10">
      <c r="A11" t="s">
        <v>1458</v>
      </c>
      <c r="B11">
        <v>40</v>
      </c>
      <c r="C11" t="s">
        <v>1452</v>
      </c>
      <c r="D11" t="s">
        <v>1447</v>
      </c>
      <c r="E11"/>
      <c r="F11">
        <v>500</v>
      </c>
      <c r="G11" t="s">
        <v>1448</v>
      </c>
      <c r="H11">
        <v>250</v>
      </c>
      <c r="I11" t="s">
        <v>1449</v>
      </c>
      <c r="J11"/>
    </row>
    <row r="12" spans="1:10">
      <c r="A12" t="s">
        <v>1458</v>
      </c>
      <c r="B12">
        <v>60</v>
      </c>
      <c r="C12" t="s">
        <v>1453</v>
      </c>
      <c r="D12" t="s">
        <v>1447</v>
      </c>
      <c r="E12"/>
      <c r="F12"/>
      <c r="G12"/>
      <c r="H12"/>
      <c r="I12"/>
      <c r="J12"/>
    </row>
    <row r="13" spans="1:10" s="27" customFormat="1">
      <c r="A13" s="26" t="s">
        <v>1459</v>
      </c>
      <c r="B13" s="26">
        <v>20</v>
      </c>
      <c r="C13" s="26" t="s">
        <v>1446</v>
      </c>
      <c r="D13" s="26" t="s">
        <v>1447</v>
      </c>
      <c r="E13" s="26"/>
      <c r="F13" s="26">
        <v>160</v>
      </c>
      <c r="G13" s="26" t="s">
        <v>1448</v>
      </c>
      <c r="H13" s="26">
        <v>80</v>
      </c>
      <c r="I13" s="26" t="s">
        <v>1449</v>
      </c>
      <c r="J13" s="26"/>
    </row>
    <row r="14" spans="1:10">
      <c r="A14" t="s">
        <v>1460</v>
      </c>
      <c r="B14">
        <v>80</v>
      </c>
      <c r="C14" t="s">
        <v>1461</v>
      </c>
      <c r="D14" t="s">
        <v>1462</v>
      </c>
      <c r="E14"/>
      <c r="F14"/>
      <c r="G14"/>
      <c r="H14">
        <v>400</v>
      </c>
      <c r="I14" t="s">
        <v>1449</v>
      </c>
      <c r="J14"/>
    </row>
    <row r="15" spans="1:10">
      <c r="A15" t="s">
        <v>1460</v>
      </c>
      <c r="B15">
        <v>50</v>
      </c>
      <c r="C15" t="s">
        <v>1452</v>
      </c>
      <c r="D15" t="s">
        <v>1447</v>
      </c>
      <c r="E15"/>
      <c r="F15">
        <v>1200</v>
      </c>
      <c r="G15" t="s">
        <v>1448</v>
      </c>
      <c r="H15"/>
      <c r="I15"/>
      <c r="J15"/>
    </row>
    <row r="16" spans="1:10">
      <c r="A16" t="s">
        <v>1460</v>
      </c>
      <c r="B16">
        <v>70</v>
      </c>
      <c r="C16" t="s">
        <v>1453</v>
      </c>
      <c r="D16" t="s">
        <v>1447</v>
      </c>
      <c r="E16"/>
      <c r="F16"/>
      <c r="G16"/>
      <c r="H16"/>
      <c r="I16"/>
      <c r="J16"/>
    </row>
    <row r="17" spans="1:10">
      <c r="A17" t="s">
        <v>1463</v>
      </c>
      <c r="B17">
        <v>80</v>
      </c>
      <c r="C17" t="s">
        <v>1461</v>
      </c>
      <c r="D17" t="s">
        <v>1462</v>
      </c>
      <c r="E17"/>
      <c r="F17">
        <v>1000</v>
      </c>
      <c r="G17" t="s">
        <v>1448</v>
      </c>
      <c r="H17"/>
      <c r="I17"/>
      <c r="J17"/>
    </row>
    <row r="18" spans="1:10">
      <c r="A18" t="s">
        <v>0</v>
      </c>
      <c r="B18">
        <v>20</v>
      </c>
      <c r="C18" t="s">
        <v>1446</v>
      </c>
      <c r="D18" t="s">
        <v>1462</v>
      </c>
      <c r="E18"/>
      <c r="F18">
        <v>1000</v>
      </c>
      <c r="G18" t="s">
        <v>1448</v>
      </c>
      <c r="H18">
        <v>400</v>
      </c>
      <c r="I18" t="s">
        <v>1449</v>
      </c>
      <c r="J18"/>
    </row>
    <row r="19" spans="1:10">
      <c r="A19" t="s">
        <v>1</v>
      </c>
      <c r="B19">
        <v>30</v>
      </c>
      <c r="C19" t="s">
        <v>1446</v>
      </c>
      <c r="D19" t="s">
        <v>1447</v>
      </c>
      <c r="E19"/>
      <c r="F19"/>
      <c r="G19"/>
      <c r="H19"/>
      <c r="I19"/>
      <c r="J19"/>
    </row>
    <row r="20" spans="1:10">
      <c r="A20"/>
      <c r="B20"/>
      <c r="C20"/>
      <c r="D20"/>
      <c r="E20"/>
      <c r="F20"/>
      <c r="G20"/>
      <c r="H20"/>
      <c r="I20"/>
      <c r="J20"/>
    </row>
    <row r="21" spans="1:10">
      <c r="A21" t="s">
        <v>2</v>
      </c>
      <c r="B21">
        <v>30</v>
      </c>
      <c r="C21" t="s">
        <v>1452</v>
      </c>
      <c r="D21" t="s">
        <v>1447</v>
      </c>
      <c r="E21"/>
      <c r="F21">
        <v>800</v>
      </c>
      <c r="G21" t="s">
        <v>1448</v>
      </c>
      <c r="H21"/>
      <c r="I21"/>
      <c r="J21"/>
    </row>
    <row r="22" spans="1:10">
      <c r="A22" t="s">
        <v>2</v>
      </c>
      <c r="B22">
        <v>60</v>
      </c>
      <c r="C22" t="s">
        <v>1453</v>
      </c>
      <c r="D22" t="s">
        <v>1447</v>
      </c>
      <c r="E22"/>
      <c r="F22"/>
      <c r="G22"/>
      <c r="H22"/>
      <c r="I22"/>
      <c r="J22"/>
    </row>
    <row r="23" spans="1:10">
      <c r="A23" t="s">
        <v>3</v>
      </c>
      <c r="B23">
        <v>15</v>
      </c>
      <c r="C23" t="s">
        <v>1452</v>
      </c>
      <c r="D23" t="s">
        <v>1447</v>
      </c>
      <c r="E23"/>
      <c r="F23">
        <v>1000</v>
      </c>
      <c r="G23" t="s">
        <v>1448</v>
      </c>
      <c r="H23">
        <v>500</v>
      </c>
      <c r="I23" t="s">
        <v>1449</v>
      </c>
      <c r="J23"/>
    </row>
    <row r="24" spans="1:10">
      <c r="A24" t="s">
        <v>3</v>
      </c>
      <c r="B24">
        <v>30</v>
      </c>
      <c r="C24" t="s">
        <v>1453</v>
      </c>
      <c r="D24" t="s">
        <v>1447</v>
      </c>
      <c r="E24"/>
      <c r="F24"/>
      <c r="G24"/>
      <c r="H24"/>
      <c r="I24"/>
      <c r="J24"/>
    </row>
    <row r="25" spans="1:10">
      <c r="A25" t="s">
        <v>4</v>
      </c>
      <c r="B25">
        <v>30</v>
      </c>
      <c r="C25" t="s">
        <v>1452</v>
      </c>
      <c r="D25" t="s">
        <v>1447</v>
      </c>
      <c r="E25"/>
      <c r="F25">
        <v>1200</v>
      </c>
      <c r="G25" t="s">
        <v>1448</v>
      </c>
      <c r="H25">
        <v>500</v>
      </c>
      <c r="I25" t="s">
        <v>1449</v>
      </c>
      <c r="J25"/>
    </row>
    <row r="26" spans="1:10">
      <c r="A26" t="s">
        <v>4</v>
      </c>
      <c r="B26">
        <v>50</v>
      </c>
      <c r="C26" t="s">
        <v>1453</v>
      </c>
      <c r="D26" t="s">
        <v>1447</v>
      </c>
      <c r="E26"/>
      <c r="F26"/>
      <c r="G26"/>
      <c r="H26"/>
      <c r="I26"/>
      <c r="J26"/>
    </row>
    <row r="27" spans="1:10">
      <c r="A27" t="s">
        <v>5</v>
      </c>
      <c r="B27">
        <v>15</v>
      </c>
      <c r="C27" t="s">
        <v>1452</v>
      </c>
      <c r="D27" t="s">
        <v>1447</v>
      </c>
      <c r="E27"/>
      <c r="F27"/>
      <c r="G27"/>
      <c r="H27"/>
      <c r="I27"/>
      <c r="J27"/>
    </row>
    <row r="28" spans="1:10">
      <c r="A28" t="s">
        <v>5</v>
      </c>
      <c r="B28">
        <v>30</v>
      </c>
      <c r="C28" t="s">
        <v>1453</v>
      </c>
      <c r="D28" t="s">
        <v>1447</v>
      </c>
      <c r="E28"/>
      <c r="F28"/>
      <c r="G28"/>
      <c r="H28"/>
      <c r="I28"/>
      <c r="J28"/>
    </row>
    <row r="29" spans="1:10">
      <c r="A29" t="s">
        <v>6</v>
      </c>
      <c r="B29">
        <v>8</v>
      </c>
      <c r="C29" t="s">
        <v>1446</v>
      </c>
      <c r="D29" t="s">
        <v>1447</v>
      </c>
      <c r="E29"/>
      <c r="F29"/>
      <c r="G29"/>
      <c r="H29"/>
      <c r="I29"/>
      <c r="J29"/>
    </row>
    <row r="30" spans="1:10">
      <c r="A30" t="s">
        <v>7</v>
      </c>
      <c r="B30">
        <v>15</v>
      </c>
      <c r="C30" t="s">
        <v>1452</v>
      </c>
      <c r="D30" t="s">
        <v>1447</v>
      </c>
      <c r="E30" t="s">
        <v>8</v>
      </c>
      <c r="F30">
        <v>900</v>
      </c>
      <c r="G30" t="s">
        <v>1448</v>
      </c>
      <c r="H30">
        <v>500</v>
      </c>
      <c r="I30"/>
      <c r="J30"/>
    </row>
    <row r="31" spans="1:10">
      <c r="A31" t="s">
        <v>7</v>
      </c>
      <c r="B31">
        <v>30</v>
      </c>
      <c r="C31" t="s">
        <v>1453</v>
      </c>
      <c r="D31" t="s">
        <v>1447</v>
      </c>
      <c r="E31" t="s">
        <v>8</v>
      </c>
      <c r="F31"/>
      <c r="G31"/>
      <c r="H31"/>
      <c r="I31"/>
      <c r="J31"/>
    </row>
    <row r="32" spans="1:10">
      <c r="A32" t="s">
        <v>9</v>
      </c>
      <c r="B32">
        <v>15</v>
      </c>
      <c r="C32" t="s">
        <v>1452</v>
      </c>
      <c r="D32" t="s">
        <v>1447</v>
      </c>
      <c r="E32"/>
      <c r="F32"/>
      <c r="G32"/>
      <c r="H32">
        <v>500</v>
      </c>
      <c r="I32" t="s">
        <v>1449</v>
      </c>
      <c r="J32"/>
    </row>
    <row r="33" spans="1:10">
      <c r="A33" t="s">
        <v>9</v>
      </c>
      <c r="B33">
        <v>30</v>
      </c>
      <c r="C33" t="s">
        <v>1453</v>
      </c>
      <c r="D33" t="s">
        <v>1447</v>
      </c>
      <c r="E33"/>
      <c r="F33"/>
      <c r="G33"/>
      <c r="H33"/>
      <c r="I33"/>
      <c r="J33"/>
    </row>
    <row r="34" spans="1:10">
      <c r="A34" t="s">
        <v>10</v>
      </c>
      <c r="B34">
        <v>20</v>
      </c>
      <c r="C34" t="s">
        <v>1446</v>
      </c>
      <c r="D34" t="s">
        <v>11</v>
      </c>
      <c r="E34"/>
      <c r="F34">
        <v>2500</v>
      </c>
      <c r="G34" t="s">
        <v>1448</v>
      </c>
      <c r="H34"/>
      <c r="I34"/>
      <c r="J3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selection activeCell="C5" sqref="C5"/>
    </sheetView>
  </sheetViews>
  <sheetFormatPr baseColWidth="10" defaultRowHeight="12.75"/>
  <sheetData>
    <row r="1" spans="1:3">
      <c r="A1" t="s">
        <v>487</v>
      </c>
    </row>
    <row r="3" spans="1:3">
      <c r="A3" t="s">
        <v>756</v>
      </c>
    </row>
    <row r="5" spans="1:3">
      <c r="A5" t="s">
        <v>757</v>
      </c>
      <c r="B5" t="s">
        <v>758</v>
      </c>
      <c r="C5" t="s">
        <v>759</v>
      </c>
    </row>
    <row r="6" spans="1:3">
      <c r="A6">
        <v>5</v>
      </c>
      <c r="B6">
        <f>-12.15+(3.4498*A6)-(0.1226*A6^2)+(0.001*A6^3)</f>
        <v>2.159000000000002</v>
      </c>
      <c r="C6">
        <f>-2.99+0.8641*A6-0.0139*A6^2-0.0002*A6^3</f>
        <v>0.95799999999999985</v>
      </c>
    </row>
    <row r="7" spans="1:3">
      <c r="A7">
        <v>10</v>
      </c>
      <c r="B7">
        <f t="shared" ref="B7:B12" si="0">-12.15+(3.4498*A7)-(0.1226*A7^2)+(0.001*A7^3)</f>
        <v>11.088000000000006</v>
      </c>
      <c r="C7">
        <f t="shared" ref="C7:C12" si="1">-2.99+0.8641*A7-0.0139*A7^2-0.0002*A7^3</f>
        <v>4.0609999999999999</v>
      </c>
    </row>
    <row r="8" spans="1:3">
      <c r="A8">
        <v>15</v>
      </c>
      <c r="B8">
        <f t="shared" si="0"/>
        <v>15.387</v>
      </c>
      <c r="C8">
        <f t="shared" si="1"/>
        <v>6.1689999999999996</v>
      </c>
    </row>
    <row r="9" spans="1:3">
      <c r="A9">
        <v>20</v>
      </c>
      <c r="B9">
        <f t="shared" si="0"/>
        <v>15.806000000000012</v>
      </c>
      <c r="C9">
        <f t="shared" si="1"/>
        <v>7.1319999999999997</v>
      </c>
    </row>
    <row r="10" spans="1:3">
      <c r="A10">
        <v>25</v>
      </c>
      <c r="B10">
        <f t="shared" si="0"/>
        <v>13.094999999999999</v>
      </c>
      <c r="C10">
        <f t="shared" si="1"/>
        <v>6.7999999999999972</v>
      </c>
    </row>
    <row r="11" spans="1:3">
      <c r="A11">
        <v>30</v>
      </c>
      <c r="B11">
        <f t="shared" si="0"/>
        <v>8.0039999999999907</v>
      </c>
      <c r="C11">
        <f t="shared" si="1"/>
        <v>5.0229999999999997</v>
      </c>
    </row>
    <row r="12" spans="1:3">
      <c r="A12">
        <v>35</v>
      </c>
      <c r="B12">
        <f t="shared" si="0"/>
        <v>1.2830000000000013</v>
      </c>
      <c r="C12">
        <f t="shared" si="1"/>
        <v>1.6510000000000016</v>
      </c>
    </row>
    <row r="30" spans="1:1">
      <c r="A30" t="s">
        <v>488</v>
      </c>
    </row>
    <row r="32" spans="1:1">
      <c r="A32" t="s">
        <v>619</v>
      </c>
    </row>
    <row r="35" spans="1:2">
      <c r="A35" t="s">
        <v>1199</v>
      </c>
      <c r="B35" t="s">
        <v>1247</v>
      </c>
    </row>
    <row r="36" spans="1:2">
      <c r="A36">
        <v>1</v>
      </c>
      <c r="B36">
        <f>A36*1.68</f>
        <v>1.68</v>
      </c>
    </row>
    <row r="37" spans="1:2">
      <c r="A37">
        <v>2</v>
      </c>
      <c r="B37">
        <f t="shared" ref="B37:B44" si="2">A37*1.68</f>
        <v>3.36</v>
      </c>
    </row>
    <row r="38" spans="1:2">
      <c r="A38">
        <v>3</v>
      </c>
      <c r="B38">
        <f t="shared" si="2"/>
        <v>5.04</v>
      </c>
    </row>
    <row r="39" spans="1:2">
      <c r="A39">
        <v>4</v>
      </c>
      <c r="B39">
        <f t="shared" si="2"/>
        <v>6.72</v>
      </c>
    </row>
    <row r="40" spans="1:2">
      <c r="A40">
        <v>5</v>
      </c>
      <c r="B40">
        <f t="shared" si="2"/>
        <v>8.4</v>
      </c>
    </row>
    <row r="41" spans="1:2">
      <c r="A41">
        <v>6</v>
      </c>
      <c r="B41">
        <f t="shared" si="2"/>
        <v>10.08</v>
      </c>
    </row>
    <row r="42" spans="1:2">
      <c r="A42">
        <v>7</v>
      </c>
      <c r="B42">
        <f t="shared" si="2"/>
        <v>11.76</v>
      </c>
    </row>
    <row r="43" spans="1:2">
      <c r="A43">
        <v>8</v>
      </c>
      <c r="B43">
        <f t="shared" si="2"/>
        <v>13.44</v>
      </c>
    </row>
    <row r="44" spans="1:2">
      <c r="A44">
        <v>9</v>
      </c>
      <c r="B44">
        <f t="shared" si="2"/>
        <v>15.12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75" workbookViewId="0"/>
  </sheetViews>
  <sheetFormatPr baseColWidth="10" defaultRowHeight="12.75"/>
  <sheetData>
    <row r="1" spans="1:9">
      <c r="A1" t="s">
        <v>432</v>
      </c>
    </row>
    <row r="3" spans="1:9">
      <c r="A3" t="s">
        <v>433</v>
      </c>
    </row>
    <row r="5" spans="1:9">
      <c r="A5" t="s">
        <v>434</v>
      </c>
    </row>
    <row r="6" spans="1:9">
      <c r="A6" t="s">
        <v>436</v>
      </c>
      <c r="C6" t="s">
        <v>435</v>
      </c>
      <c r="F6" t="s">
        <v>451</v>
      </c>
    </row>
    <row r="7" spans="1:9">
      <c r="A7" t="s">
        <v>437</v>
      </c>
      <c r="C7" t="s">
        <v>442</v>
      </c>
      <c r="F7" t="s">
        <v>438</v>
      </c>
    </row>
    <row r="8" spans="1:9">
      <c r="A8" t="s">
        <v>439</v>
      </c>
      <c r="C8" t="s">
        <v>443</v>
      </c>
      <c r="F8" t="s">
        <v>452</v>
      </c>
    </row>
    <row r="9" spans="1:9">
      <c r="A9" t="s">
        <v>440</v>
      </c>
      <c r="C9" t="s">
        <v>444</v>
      </c>
      <c r="F9" t="s">
        <v>453</v>
      </c>
    </row>
    <row r="10" spans="1:9">
      <c r="A10" t="s">
        <v>441</v>
      </c>
      <c r="C10" t="s">
        <v>445</v>
      </c>
      <c r="F10" t="s">
        <v>455</v>
      </c>
    </row>
    <row r="11" spans="1:9">
      <c r="A11" t="s">
        <v>446</v>
      </c>
      <c r="C11" t="s">
        <v>447</v>
      </c>
      <c r="F11" t="s">
        <v>454</v>
      </c>
    </row>
    <row r="12" spans="1:9">
      <c r="A12" t="s">
        <v>448</v>
      </c>
      <c r="C12" t="s">
        <v>449</v>
      </c>
      <c r="F12" t="s">
        <v>450</v>
      </c>
    </row>
    <row r="16" spans="1:9">
      <c r="I16" s="62" t="s">
        <v>539</v>
      </c>
    </row>
    <row r="17" spans="1:9">
      <c r="A17" t="s">
        <v>456</v>
      </c>
      <c r="B17" t="s">
        <v>457</v>
      </c>
      <c r="C17" t="s">
        <v>458</v>
      </c>
      <c r="D17" t="s">
        <v>459</v>
      </c>
      <c r="E17" t="s">
        <v>460</v>
      </c>
      <c r="F17" t="s">
        <v>461</v>
      </c>
      <c r="G17" t="s">
        <v>462</v>
      </c>
      <c r="H17" t="s">
        <v>463</v>
      </c>
      <c r="I17" s="62" t="s">
        <v>464</v>
      </c>
    </row>
    <row r="18" spans="1:9">
      <c r="A18">
        <v>1</v>
      </c>
      <c r="B18">
        <f>1.1843+0.6363*A18^1.194</f>
        <v>1.8205999999999998</v>
      </c>
      <c r="C18">
        <f>0.3+14.47*(1-(EXP(-0.19*B18)))^1.59</f>
        <v>2.3484978556570475</v>
      </c>
      <c r="D18">
        <f>29.67*(B18^0.6125)</f>
        <v>42.825155746653941</v>
      </c>
      <c r="E18">
        <f>84.89*(B18^0.7641)</f>
        <v>134.17959057489327</v>
      </c>
      <c r="F18">
        <f>0.137*(B18^1.9535)</f>
        <v>0.44162095026532905</v>
      </c>
      <c r="G18">
        <f>0.1295*(B18^1.6773)</f>
        <v>0.353775386143721</v>
      </c>
      <c r="H18">
        <f>1.44 - 0.1016*B18</f>
        <v>1.2550270399999999</v>
      </c>
      <c r="I18" s="62">
        <f>C18/F18</f>
        <v>5.3179040854969699</v>
      </c>
    </row>
    <row r="19" spans="1:9">
      <c r="A19">
        <v>2</v>
      </c>
      <c r="B19">
        <f t="shared" ref="B19:B27" si="0">1.1843+0.6363*A19^1.194</f>
        <v>2.640066556499165</v>
      </c>
      <c r="C19">
        <f t="shared" ref="C19:C29" si="1">0.3+14.47*(1-(EXP(-0.19*B19)))^1.59</f>
        <v>3.5967796483382806</v>
      </c>
      <c r="D19">
        <f t="shared" ref="D19:D29" si="2">29.67*(B19^0.6125)</f>
        <v>53.772057906426625</v>
      </c>
      <c r="E19">
        <f t="shared" ref="E19:E29" si="3">84.89*(B19^0.7641)</f>
        <v>178.24299052463189</v>
      </c>
      <c r="F19">
        <f t="shared" ref="F19:F29" si="4">0.137*(B19^1.9535)</f>
        <v>0.91273609767151864</v>
      </c>
      <c r="G19">
        <f t="shared" ref="G19:G29" si="5">0.1295*(B19^1.6773)</f>
        <v>0.65984875153852518</v>
      </c>
      <c r="H19">
        <f t="shared" ref="H19:H29" si="6">1.44 - 0.1016*B19</f>
        <v>1.1717692378596847</v>
      </c>
      <c r="I19" s="62">
        <f t="shared" ref="I19:I29" si="7">C19/F19</f>
        <v>3.9406567325583226</v>
      </c>
    </row>
    <row r="20" spans="1:9">
      <c r="A20">
        <v>3</v>
      </c>
      <c r="B20">
        <f t="shared" si="0"/>
        <v>3.5466524984693848</v>
      </c>
      <c r="C20">
        <f t="shared" si="1"/>
        <v>4.9585784737529366</v>
      </c>
      <c r="D20">
        <f t="shared" si="2"/>
        <v>64.429010615665419</v>
      </c>
      <c r="E20">
        <f t="shared" si="3"/>
        <v>223.34331356208284</v>
      </c>
      <c r="F20">
        <f t="shared" si="4"/>
        <v>1.6247677011349191</v>
      </c>
      <c r="G20">
        <f t="shared" si="5"/>
        <v>1.0826312791291937</v>
      </c>
      <c r="H20">
        <f t="shared" si="6"/>
        <v>1.0796601061555104</v>
      </c>
      <c r="I20" s="62">
        <f t="shared" si="7"/>
        <v>3.0518691812308383</v>
      </c>
    </row>
    <row r="21" spans="1:9">
      <c r="A21">
        <v>4</v>
      </c>
      <c r="B21">
        <f t="shared" si="0"/>
        <v>4.5148929074672912</v>
      </c>
      <c r="C21">
        <f t="shared" si="1"/>
        <v>6.3178669513451053</v>
      </c>
      <c r="D21">
        <f t="shared" si="2"/>
        <v>74.694583766007412</v>
      </c>
      <c r="E21">
        <f t="shared" si="3"/>
        <v>268.57937119302358</v>
      </c>
      <c r="F21">
        <f t="shared" si="4"/>
        <v>2.6036006262244751</v>
      </c>
      <c r="G21">
        <f t="shared" si="5"/>
        <v>1.6229679440317155</v>
      </c>
      <c r="H21">
        <f t="shared" si="6"/>
        <v>0.98128688060132319</v>
      </c>
      <c r="I21" s="62">
        <f t="shared" si="7"/>
        <v>2.4265883514196069</v>
      </c>
    </row>
    <row r="22" spans="1:9">
      <c r="A22">
        <v>5</v>
      </c>
      <c r="B22">
        <f t="shared" si="0"/>
        <v>5.5317250995528866</v>
      </c>
      <c r="C22">
        <f t="shared" si="1"/>
        <v>7.6021145066845435</v>
      </c>
      <c r="D22">
        <f t="shared" si="2"/>
        <v>84.590123193424532</v>
      </c>
      <c r="E22">
        <f t="shared" si="3"/>
        <v>313.6724023412296</v>
      </c>
      <c r="F22">
        <f t="shared" si="4"/>
        <v>3.8716735268841229</v>
      </c>
      <c r="G22">
        <f t="shared" si="5"/>
        <v>2.2817593317975868</v>
      </c>
      <c r="H22">
        <f t="shared" si="6"/>
        <v>0.87797672988542674</v>
      </c>
      <c r="I22" s="62">
        <f t="shared" si="7"/>
        <v>1.9635215763666507</v>
      </c>
    </row>
    <row r="23" spans="1:9">
      <c r="A23">
        <v>6</v>
      </c>
      <c r="B23">
        <f t="shared" si="0"/>
        <v>6.5890363852490577</v>
      </c>
      <c r="C23">
        <f t="shared" si="1"/>
        <v>8.7701504771702954</v>
      </c>
      <c r="D23">
        <f t="shared" si="2"/>
        <v>94.155558454967021</v>
      </c>
      <c r="E23">
        <f t="shared" si="3"/>
        <v>358.52409794143784</v>
      </c>
      <c r="F23">
        <f t="shared" si="4"/>
        <v>5.4486531196115378</v>
      </c>
      <c r="G23">
        <f t="shared" si="5"/>
        <v>3.0597063721024256</v>
      </c>
      <c r="H23">
        <f t="shared" si="6"/>
        <v>0.77055390325869566</v>
      </c>
      <c r="I23" s="62">
        <f t="shared" si="7"/>
        <v>1.6095997092572418</v>
      </c>
    </row>
    <row r="24" spans="1:9">
      <c r="A24">
        <v>7</v>
      </c>
      <c r="B24">
        <f t="shared" si="0"/>
        <v>7.6812418997344807</v>
      </c>
      <c r="C24">
        <f t="shared" si="1"/>
        <v>9.8030396532839141</v>
      </c>
      <c r="D24">
        <f t="shared" si="2"/>
        <v>103.42947129604975</v>
      </c>
      <c r="E24">
        <f t="shared" si="3"/>
        <v>403.10176394671862</v>
      </c>
      <c r="F24">
        <f t="shared" si="4"/>
        <v>7.3520912661271911</v>
      </c>
      <c r="G24">
        <f t="shared" si="5"/>
        <v>3.9573451178367391</v>
      </c>
      <c r="H24">
        <f t="shared" si="6"/>
        <v>0.65958582298697677</v>
      </c>
      <c r="I24" s="62">
        <f t="shared" si="7"/>
        <v>1.3333675138730687</v>
      </c>
    </row>
    <row r="25" spans="1:9">
      <c r="A25">
        <v>8</v>
      </c>
      <c r="B25">
        <f t="shared" si="0"/>
        <v>8.8042367719695118</v>
      </c>
      <c r="C25">
        <f t="shared" si="1"/>
        <v>10.69682852070064</v>
      </c>
      <c r="D25">
        <f t="shared" si="2"/>
        <v>112.4452775702479</v>
      </c>
      <c r="E25">
        <f t="shared" si="3"/>
        <v>447.39947678174468</v>
      </c>
      <c r="F25">
        <f t="shared" si="4"/>
        <v>9.5978913534414616</v>
      </c>
      <c r="G25">
        <f t="shared" si="5"/>
        <v>4.9750927250426962</v>
      </c>
      <c r="H25">
        <f t="shared" si="6"/>
        <v>0.54548954396789762</v>
      </c>
      <c r="I25" s="62">
        <f t="shared" si="7"/>
        <v>1.1144977711031432</v>
      </c>
    </row>
    <row r="26" spans="1:9">
      <c r="A26">
        <v>9</v>
      </c>
      <c r="B26">
        <f t="shared" si="0"/>
        <v>9.9548631416384499</v>
      </c>
      <c r="C26">
        <f t="shared" si="1"/>
        <v>11.457019448212895</v>
      </c>
      <c r="D26">
        <f t="shared" si="2"/>
        <v>121.23113292974023</v>
      </c>
      <c r="E26">
        <f t="shared" si="3"/>
        <v>491.42279938987764</v>
      </c>
      <c r="F26">
        <f t="shared" si="4"/>
        <v>12.200637213203221</v>
      </c>
      <c r="G26">
        <f t="shared" si="5"/>
        <v>6.1132811105043778</v>
      </c>
      <c r="H26">
        <f t="shared" si="6"/>
        <v>0.42858590480953351</v>
      </c>
      <c r="I26" s="62">
        <f t="shared" si="7"/>
        <v>0.93905090758820353</v>
      </c>
    </row>
    <row r="27" spans="1:9">
      <c r="A27">
        <v>10</v>
      </c>
      <c r="B27">
        <f t="shared" si="0"/>
        <v>11.130608450124393</v>
      </c>
      <c r="C27">
        <f t="shared" si="1"/>
        <v>12.094550522985603</v>
      </c>
      <c r="D27">
        <f t="shared" si="2"/>
        <v>129.81066535735707</v>
      </c>
      <c r="E27">
        <f t="shared" si="3"/>
        <v>535.18216153823846</v>
      </c>
      <c r="F27">
        <f t="shared" si="4"/>
        <v>15.173831220696352</v>
      </c>
      <c r="G27">
        <f t="shared" si="5"/>
        <v>7.3721799689795482</v>
      </c>
      <c r="H27">
        <f t="shared" si="6"/>
        <v>0.30913018146736171</v>
      </c>
      <c r="I27" s="62">
        <f t="shared" si="7"/>
        <v>0.79706636689679511</v>
      </c>
    </row>
    <row r="28" spans="1:9">
      <c r="A28">
        <v>11</v>
      </c>
      <c r="B28">
        <f>1.1843+(0.6363*(A28^1.194))</f>
        <v>12.329421036917893</v>
      </c>
      <c r="C28">
        <f t="shared" si="1"/>
        <v>12.622998365830323</v>
      </c>
      <c r="D28">
        <f t="shared" si="2"/>
        <v>138.20378586573176</v>
      </c>
      <c r="E28">
        <f t="shared" si="3"/>
        <v>578.68981402926715</v>
      </c>
      <c r="F28">
        <f t="shared" si="4"/>
        <v>18.530071686217081</v>
      </c>
      <c r="G28">
        <f t="shared" si="5"/>
        <v>8.7520125453698157</v>
      </c>
      <c r="H28">
        <f t="shared" si="6"/>
        <v>0.18733082264914214</v>
      </c>
      <c r="I28" s="62">
        <f t="shared" si="7"/>
        <v>0.68121692023563407</v>
      </c>
    </row>
    <row r="29" spans="1:9">
      <c r="A29">
        <v>12</v>
      </c>
      <c r="B29">
        <f>1.1843+(0.6363*(A29^1.194))</f>
        <v>13.54959070617597</v>
      </c>
      <c r="C29">
        <f t="shared" si="1"/>
        <v>13.056722338221267</v>
      </c>
      <c r="D29">
        <f t="shared" si="2"/>
        <v>146.4273927497949</v>
      </c>
      <c r="E29">
        <f t="shared" si="3"/>
        <v>621.958382082821</v>
      </c>
      <c r="F29">
        <f t="shared" si="4"/>
        <v>22.281188520681354</v>
      </c>
      <c r="G29">
        <f t="shared" si="5"/>
        <v>10.252966643943354</v>
      </c>
      <c r="H29">
        <f t="shared" si="6"/>
        <v>6.3361584252521475E-2</v>
      </c>
      <c r="I29" s="62">
        <f t="shared" si="7"/>
        <v>0.5859975703765552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I5" sqref="I5"/>
    </sheetView>
  </sheetViews>
  <sheetFormatPr baseColWidth="10" defaultRowHeight="12.75"/>
  <sheetData>
    <row r="1" spans="1:10">
      <c r="A1" t="s">
        <v>489</v>
      </c>
    </row>
    <row r="3" spans="1:10">
      <c r="A3" t="s">
        <v>527</v>
      </c>
    </row>
    <row r="4" spans="1:10">
      <c r="H4" t="s">
        <v>539</v>
      </c>
    </row>
    <row r="5" spans="1:10" s="34" customFormat="1" ht="38.25">
      <c r="A5" s="34" t="s">
        <v>528</v>
      </c>
      <c r="B5" s="34" t="s">
        <v>529</v>
      </c>
      <c r="C5" s="34" t="s">
        <v>530</v>
      </c>
      <c r="D5" s="34" t="s">
        <v>531</v>
      </c>
      <c r="E5" s="34" t="s">
        <v>532</v>
      </c>
      <c r="F5" s="34" t="s">
        <v>533</v>
      </c>
      <c r="G5" s="34" t="s">
        <v>534</v>
      </c>
      <c r="H5" s="34" t="s">
        <v>540</v>
      </c>
      <c r="I5" s="76" t="s">
        <v>542</v>
      </c>
      <c r="J5" s="34" t="s">
        <v>531</v>
      </c>
    </row>
    <row r="6" spans="1:10">
      <c r="A6" t="s">
        <v>535</v>
      </c>
      <c r="B6">
        <v>4.3099999999999996</v>
      </c>
      <c r="C6">
        <v>2.88</v>
      </c>
      <c r="D6">
        <v>4.8899999999999997</v>
      </c>
      <c r="E6">
        <v>0.53300000000000003</v>
      </c>
      <c r="F6">
        <v>1.66</v>
      </c>
      <c r="G6">
        <v>2.04</v>
      </c>
      <c r="H6">
        <f>D6-(E6*B6)</f>
        <v>2.5927699999999998</v>
      </c>
      <c r="I6" s="62">
        <f>11.74*(C6^2.235)</f>
        <v>124.85625577778552</v>
      </c>
      <c r="J6">
        <v>4.8899999999999997</v>
      </c>
    </row>
    <row r="7" spans="1:10">
      <c r="A7" t="s">
        <v>536</v>
      </c>
      <c r="B7">
        <v>1.91</v>
      </c>
      <c r="C7">
        <v>3.99</v>
      </c>
      <c r="D7">
        <v>6.57</v>
      </c>
      <c r="E7">
        <v>1.54</v>
      </c>
      <c r="F7">
        <v>3.48</v>
      </c>
      <c r="G7">
        <v>4.28</v>
      </c>
      <c r="H7">
        <f>D7-(E7*B7)</f>
        <v>3.6286000000000005</v>
      </c>
      <c r="I7" s="62">
        <f>11.74*(C7^2.235)</f>
        <v>258.72745632382862</v>
      </c>
      <c r="J7">
        <v>6.57</v>
      </c>
    </row>
    <row r="8" spans="1:10">
      <c r="A8" t="s">
        <v>537</v>
      </c>
      <c r="B8">
        <v>0.72599999999999998</v>
      </c>
      <c r="C8">
        <v>6.02</v>
      </c>
      <c r="D8">
        <v>8.75</v>
      </c>
      <c r="E8">
        <v>4</v>
      </c>
      <c r="F8">
        <v>8.5299999999999994</v>
      </c>
      <c r="G8">
        <v>10.4</v>
      </c>
      <c r="H8">
        <f>D8-(E8*B8)</f>
        <v>5.8460000000000001</v>
      </c>
      <c r="I8" s="62">
        <f>11.74*(C8^2.235)</f>
        <v>648.73339513297242</v>
      </c>
      <c r="J8">
        <v>8.75</v>
      </c>
    </row>
    <row r="9" spans="1:10">
      <c r="A9" t="s">
        <v>538</v>
      </c>
      <c r="B9">
        <v>0.52800000000000002</v>
      </c>
      <c r="C9">
        <v>8.91</v>
      </c>
      <c r="D9">
        <v>11</v>
      </c>
      <c r="E9">
        <v>7.4</v>
      </c>
      <c r="F9">
        <v>20.100000000000001</v>
      </c>
      <c r="G9">
        <v>24.6</v>
      </c>
      <c r="H9">
        <f>D9-(E9*B9)</f>
        <v>7.0927999999999995</v>
      </c>
      <c r="I9" s="62">
        <f>11.74*(C9^2.235)</f>
        <v>1558.2773762385241</v>
      </c>
      <c r="J9">
        <v>11</v>
      </c>
    </row>
    <row r="11" spans="1:10">
      <c r="A11" t="s">
        <v>541</v>
      </c>
    </row>
    <row r="13" spans="1:10">
      <c r="A13" t="s">
        <v>543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baseColWidth="10" defaultRowHeight="12.75"/>
  <sheetData>
    <row r="1" spans="1:7">
      <c r="A1" t="s">
        <v>490</v>
      </c>
    </row>
    <row r="3" spans="1:7">
      <c r="A3" t="s">
        <v>79</v>
      </c>
    </row>
    <row r="5" spans="1:7">
      <c r="A5" t="s">
        <v>80</v>
      </c>
      <c r="B5" t="s">
        <v>81</v>
      </c>
      <c r="C5" t="s">
        <v>82</v>
      </c>
      <c r="D5" t="s">
        <v>1149</v>
      </c>
      <c r="E5" t="s">
        <v>83</v>
      </c>
      <c r="F5" t="s">
        <v>858</v>
      </c>
      <c r="G5" t="s">
        <v>84</v>
      </c>
    </row>
    <row r="6" spans="1:7">
      <c r="A6">
        <v>12</v>
      </c>
      <c r="B6" t="s">
        <v>85</v>
      </c>
      <c r="C6">
        <v>6800</v>
      </c>
      <c r="D6">
        <v>1.2</v>
      </c>
      <c r="E6">
        <v>2.4</v>
      </c>
      <c r="F6">
        <v>0.2</v>
      </c>
      <c r="G6">
        <v>2.7</v>
      </c>
    </row>
    <row r="7" spans="1:7">
      <c r="A7">
        <v>20</v>
      </c>
      <c r="B7" t="s">
        <v>85</v>
      </c>
      <c r="C7">
        <v>3500</v>
      </c>
      <c r="D7">
        <v>3.5</v>
      </c>
      <c r="E7">
        <v>3.4</v>
      </c>
      <c r="F7">
        <v>0.3</v>
      </c>
      <c r="G7">
        <v>5</v>
      </c>
    </row>
    <row r="8" spans="1:7">
      <c r="A8">
        <v>37</v>
      </c>
      <c r="B8" t="s">
        <v>85</v>
      </c>
      <c r="C8">
        <v>4200</v>
      </c>
      <c r="D8">
        <v>7.7</v>
      </c>
      <c r="E8">
        <v>8.1999999999999993</v>
      </c>
      <c r="F8">
        <v>0.3</v>
      </c>
      <c r="G8">
        <v>9.4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1" sqref="A1:IV65536"/>
    </sheetView>
  </sheetViews>
  <sheetFormatPr baseColWidth="10" defaultRowHeight="12.75"/>
  <cols>
    <col min="1" max="1" width="18.7109375" customWidth="1"/>
  </cols>
  <sheetData>
    <row r="1" spans="1:4">
      <c r="A1" s="26" t="s">
        <v>491</v>
      </c>
    </row>
    <row r="3" spans="1:4">
      <c r="A3" t="s">
        <v>679</v>
      </c>
    </row>
    <row r="5" spans="1:4">
      <c r="A5" s="26" t="s">
        <v>865</v>
      </c>
    </row>
    <row r="6" spans="1:4">
      <c r="A6" s="26" t="s">
        <v>866</v>
      </c>
    </row>
    <row r="7" spans="1:4">
      <c r="A7" s="26"/>
    </row>
    <row r="8" spans="1:4">
      <c r="A8" s="47" t="s">
        <v>678</v>
      </c>
      <c r="B8" s="47" t="s">
        <v>673</v>
      </c>
      <c r="C8" s="47"/>
      <c r="D8" s="47"/>
    </row>
    <row r="9" spans="1:4">
      <c r="C9" s="26" t="s">
        <v>724</v>
      </c>
    </row>
    <row r="10" spans="1:4">
      <c r="A10" s="47"/>
      <c r="B10" s="47" t="s">
        <v>674</v>
      </c>
      <c r="C10" s="47" t="s">
        <v>675</v>
      </c>
      <c r="D10" s="92">
        <v>35674</v>
      </c>
    </row>
    <row r="11" spans="1:4">
      <c r="A11" t="s">
        <v>676</v>
      </c>
      <c r="B11">
        <v>3.65</v>
      </c>
      <c r="C11">
        <v>2.41</v>
      </c>
      <c r="D11">
        <v>2.02</v>
      </c>
    </row>
    <row r="12" spans="1:4">
      <c r="A12" t="s">
        <v>677</v>
      </c>
      <c r="B12">
        <v>2.8</v>
      </c>
      <c r="C12">
        <v>2.2999999999999998</v>
      </c>
      <c r="D12">
        <v>1.8</v>
      </c>
    </row>
    <row r="17" spans="1:2">
      <c r="A17" s="26" t="s">
        <v>492</v>
      </c>
    </row>
    <row r="18" spans="1:2">
      <c r="A18" t="s">
        <v>625</v>
      </c>
    </row>
    <row r="20" spans="1:2">
      <c r="A20" t="s">
        <v>867</v>
      </c>
    </row>
    <row r="22" spans="1:2">
      <c r="A22" t="s">
        <v>1178</v>
      </c>
      <c r="B22" t="s">
        <v>626</v>
      </c>
    </row>
    <row r="23" spans="1:2">
      <c r="A23">
        <v>8</v>
      </c>
      <c r="B23">
        <v>3.9</v>
      </c>
    </row>
    <row r="24" spans="1:2">
      <c r="A24">
        <v>4</v>
      </c>
      <c r="B24">
        <v>1.6</v>
      </c>
    </row>
    <row r="25" spans="1:2">
      <c r="A25">
        <v>2</v>
      </c>
      <c r="B25">
        <v>0.6</v>
      </c>
    </row>
    <row r="26" spans="1:2">
      <c r="A26">
        <v>1</v>
      </c>
      <c r="B26">
        <v>0.5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A13" sqref="A13"/>
    </sheetView>
  </sheetViews>
  <sheetFormatPr baseColWidth="10" defaultRowHeight="12.75"/>
  <sheetData>
    <row r="1" spans="1:11">
      <c r="A1" t="s">
        <v>241</v>
      </c>
    </row>
    <row r="3" spans="1:11">
      <c r="A3" t="s">
        <v>242</v>
      </c>
    </row>
    <row r="5" spans="1:11">
      <c r="A5" t="s">
        <v>249</v>
      </c>
    </row>
    <row r="7" spans="1:11">
      <c r="A7" t="s">
        <v>243</v>
      </c>
      <c r="B7" t="s">
        <v>244</v>
      </c>
      <c r="C7" t="s">
        <v>245</v>
      </c>
      <c r="D7" t="s">
        <v>313</v>
      </c>
      <c r="E7" t="s">
        <v>246</v>
      </c>
      <c r="F7" t="s">
        <v>1238</v>
      </c>
      <c r="G7" t="s">
        <v>1239</v>
      </c>
      <c r="H7" t="s">
        <v>247</v>
      </c>
      <c r="I7" t="s">
        <v>1240</v>
      </c>
      <c r="J7" t="s">
        <v>248</v>
      </c>
      <c r="K7" t="s">
        <v>1242</v>
      </c>
    </row>
    <row r="8" spans="1:11">
      <c r="A8" t="s">
        <v>1203</v>
      </c>
      <c r="B8" t="s">
        <v>257</v>
      </c>
      <c r="C8">
        <v>7</v>
      </c>
      <c r="D8">
        <v>60</v>
      </c>
      <c r="E8">
        <v>1.462</v>
      </c>
      <c r="F8">
        <v>2.6869999999999998</v>
      </c>
      <c r="G8">
        <v>0</v>
      </c>
      <c r="H8">
        <v>0</v>
      </c>
      <c r="I8">
        <v>0.99099999999999999</v>
      </c>
      <c r="J8">
        <v>0.01</v>
      </c>
      <c r="K8">
        <v>1.0269999999999999</v>
      </c>
    </row>
    <row r="9" spans="1:11">
      <c r="A9" t="s">
        <v>1199</v>
      </c>
      <c r="B9" t="s">
        <v>257</v>
      </c>
      <c r="C9">
        <v>7</v>
      </c>
      <c r="D9">
        <v>60</v>
      </c>
      <c r="E9">
        <v>1.0609999999999999</v>
      </c>
      <c r="F9">
        <v>2.8380000000000001</v>
      </c>
      <c r="G9">
        <v>1.4999999999999999E-2</v>
      </c>
      <c r="H9">
        <v>-1.2999999999999999E-2</v>
      </c>
      <c r="I9">
        <v>0.98799999999999999</v>
      </c>
      <c r="J9">
        <v>1.7000000000000001E-2</v>
      </c>
      <c r="K9">
        <v>1.046</v>
      </c>
    </row>
    <row r="10" spans="1:11">
      <c r="A10" t="s">
        <v>250</v>
      </c>
      <c r="B10" t="s">
        <v>257</v>
      </c>
      <c r="C10">
        <v>7</v>
      </c>
      <c r="D10">
        <v>60</v>
      </c>
      <c r="E10">
        <v>0.61199999999999999</v>
      </c>
      <c r="F10">
        <v>2.891</v>
      </c>
      <c r="G10">
        <v>0</v>
      </c>
      <c r="H10">
        <v>0</v>
      </c>
      <c r="I10">
        <v>0.98899999999999999</v>
      </c>
      <c r="J10">
        <v>4.1000000000000002E-2</v>
      </c>
      <c r="K10">
        <v>1.115</v>
      </c>
    </row>
    <row r="11" spans="1:11">
      <c r="A11" t="s">
        <v>251</v>
      </c>
      <c r="B11" t="s">
        <v>257</v>
      </c>
      <c r="C11">
        <v>7</v>
      </c>
      <c r="D11">
        <v>60</v>
      </c>
      <c r="E11">
        <v>0.22600000000000001</v>
      </c>
      <c r="F11">
        <v>2.3199999999999998</v>
      </c>
      <c r="G11">
        <v>-2.1000000000000001E-2</v>
      </c>
      <c r="H11">
        <v>0</v>
      </c>
      <c r="I11">
        <v>0.93100000000000005</v>
      </c>
      <c r="J11">
        <v>4.2999999999999997E-2</v>
      </c>
      <c r="K11">
        <v>1.121</v>
      </c>
    </row>
    <row r="12" spans="1:11">
      <c r="A12" t="s">
        <v>252</v>
      </c>
      <c r="B12" t="s">
        <v>257</v>
      </c>
      <c r="C12">
        <v>7</v>
      </c>
      <c r="D12">
        <v>57</v>
      </c>
      <c r="E12">
        <v>0.42599999999999999</v>
      </c>
      <c r="F12">
        <v>3.1869999999999998</v>
      </c>
      <c r="G12">
        <v>0</v>
      </c>
      <c r="H12">
        <v>0</v>
      </c>
      <c r="I12">
        <v>0.94499999999999995</v>
      </c>
      <c r="J12">
        <v>8.1000000000000003E-2</v>
      </c>
      <c r="K12">
        <v>1.24</v>
      </c>
    </row>
    <row r="13" spans="1:11">
      <c r="A13" t="s">
        <v>253</v>
      </c>
      <c r="B13" t="s">
        <v>257</v>
      </c>
      <c r="C13">
        <v>7</v>
      </c>
      <c r="D13">
        <v>60</v>
      </c>
      <c r="E13">
        <v>1.012</v>
      </c>
      <c r="F13">
        <v>2.0750000000000002</v>
      </c>
      <c r="G13">
        <v>-2.3E-2</v>
      </c>
      <c r="H13">
        <v>0.02</v>
      </c>
      <c r="I13">
        <v>0.97099999999999997</v>
      </c>
      <c r="J13">
        <v>1.9E-2</v>
      </c>
      <c r="K13">
        <v>1.052</v>
      </c>
    </row>
    <row r="14" spans="1:11">
      <c r="A14" t="s">
        <v>254</v>
      </c>
      <c r="B14" t="s">
        <v>257</v>
      </c>
      <c r="C14">
        <v>7</v>
      </c>
      <c r="D14">
        <v>60</v>
      </c>
      <c r="E14">
        <v>1.2210000000000001</v>
      </c>
      <c r="F14">
        <v>2.88</v>
      </c>
      <c r="G14">
        <v>0.01</v>
      </c>
      <c r="H14">
        <v>-0.01</v>
      </c>
      <c r="I14">
        <v>0.99099999999999999</v>
      </c>
      <c r="J14">
        <v>1.2E-2</v>
      </c>
      <c r="K14">
        <v>1.032</v>
      </c>
    </row>
    <row r="15" spans="1:11">
      <c r="A15" t="s">
        <v>255</v>
      </c>
      <c r="B15" t="s">
        <v>258</v>
      </c>
      <c r="C15">
        <v>2</v>
      </c>
      <c r="D15">
        <v>21</v>
      </c>
      <c r="E15">
        <v>0.95399999999999996</v>
      </c>
      <c r="F15">
        <v>2.5099999999999998</v>
      </c>
      <c r="G15">
        <v>0</v>
      </c>
      <c r="H15">
        <v>0</v>
      </c>
      <c r="I15">
        <v>0.94099999999999995</v>
      </c>
      <c r="J15">
        <v>1.7000000000000001E-2</v>
      </c>
      <c r="K15">
        <v>1.046</v>
      </c>
    </row>
    <row r="16" spans="1:11">
      <c r="A16" t="s">
        <v>256</v>
      </c>
      <c r="B16" t="s">
        <v>259</v>
      </c>
      <c r="C16">
        <v>3</v>
      </c>
      <c r="D16">
        <v>23</v>
      </c>
      <c r="E16">
        <v>0</v>
      </c>
      <c r="F16">
        <v>2.125</v>
      </c>
      <c r="G16">
        <v>-3.3000000000000002E-2</v>
      </c>
      <c r="H16">
        <v>0</v>
      </c>
      <c r="I16">
        <v>0.98699999999999999</v>
      </c>
      <c r="J16">
        <v>2E-3</v>
      </c>
      <c r="K16">
        <v>1.0049999999999999</v>
      </c>
    </row>
    <row r="20" spans="1:11">
      <c r="A20" t="s">
        <v>260</v>
      </c>
    </row>
    <row r="21" spans="1:11">
      <c r="A21" t="s">
        <v>1203</v>
      </c>
      <c r="B21" t="s">
        <v>261</v>
      </c>
      <c r="C21">
        <v>5</v>
      </c>
      <c r="D21">
        <v>30</v>
      </c>
      <c r="E21">
        <v>2.6139999999999999</v>
      </c>
      <c r="F21">
        <v>0.85199999999999998</v>
      </c>
      <c r="G21">
        <v>0</v>
      </c>
      <c r="H21">
        <v>2.5999999999999999E-2</v>
      </c>
      <c r="I21">
        <v>0.98699999999999999</v>
      </c>
      <c r="J21">
        <v>1.6E-2</v>
      </c>
      <c r="K21">
        <v>1.0429999999999999</v>
      </c>
    </row>
    <row r="22" spans="1:11">
      <c r="A22" t="s">
        <v>1199</v>
      </c>
      <c r="B22" t="s">
        <v>261</v>
      </c>
      <c r="C22">
        <v>5</v>
      </c>
      <c r="D22">
        <v>30</v>
      </c>
      <c r="E22">
        <v>2.4119999999999999</v>
      </c>
      <c r="F22">
        <v>0.86799999999999999</v>
      </c>
      <c r="G22">
        <v>0</v>
      </c>
      <c r="H22">
        <v>2.5999999999999999E-2</v>
      </c>
      <c r="I22">
        <v>0.98899999999999999</v>
      </c>
      <c r="J22">
        <v>1.4999999999999999E-2</v>
      </c>
      <c r="K22">
        <v>1.0409999999999999</v>
      </c>
    </row>
    <row r="23" spans="1:11">
      <c r="A23" t="s">
        <v>250</v>
      </c>
      <c r="B23" t="s">
        <v>261</v>
      </c>
      <c r="C23">
        <v>5</v>
      </c>
      <c r="D23">
        <v>30</v>
      </c>
      <c r="E23">
        <v>1.9159999999999999</v>
      </c>
      <c r="F23">
        <v>1.0109999999999999</v>
      </c>
      <c r="G23">
        <v>0</v>
      </c>
      <c r="H23">
        <v>0.02</v>
      </c>
      <c r="I23">
        <v>0.94599999999999995</v>
      </c>
      <c r="J23">
        <v>5.8000000000000003E-2</v>
      </c>
      <c r="K23">
        <v>1.1659999999999999</v>
      </c>
    </row>
    <row r="24" spans="1:11">
      <c r="A24" t="s">
        <v>251</v>
      </c>
      <c r="B24" t="s">
        <v>261</v>
      </c>
      <c r="C24">
        <v>5</v>
      </c>
      <c r="D24">
        <v>22</v>
      </c>
      <c r="E24">
        <v>0.68500000000000005</v>
      </c>
      <c r="F24">
        <v>1.0089999999999999</v>
      </c>
      <c r="G24">
        <v>0</v>
      </c>
      <c r="H24">
        <v>0</v>
      </c>
      <c r="I24">
        <v>0.85299999999999998</v>
      </c>
      <c r="J24">
        <v>3.4000000000000002E-2</v>
      </c>
      <c r="K24">
        <v>1.0940000000000001</v>
      </c>
    </row>
    <row r="25" spans="1:11">
      <c r="A25" t="s">
        <v>252</v>
      </c>
      <c r="B25" t="s">
        <v>261</v>
      </c>
      <c r="C25">
        <v>5</v>
      </c>
      <c r="D25">
        <v>30</v>
      </c>
      <c r="E25">
        <v>1.831</v>
      </c>
      <c r="F25">
        <v>1.0449999999999999</v>
      </c>
      <c r="G25">
        <v>0</v>
      </c>
      <c r="H25">
        <v>1.9E-2</v>
      </c>
      <c r="I25">
        <v>0.94399999999999995</v>
      </c>
      <c r="J25">
        <v>6.3E-2</v>
      </c>
      <c r="K25">
        <v>1.1819999999999999</v>
      </c>
    </row>
    <row r="26" spans="1:11">
      <c r="A26" t="s">
        <v>253</v>
      </c>
      <c r="B26" t="s">
        <v>261</v>
      </c>
      <c r="C26">
        <v>5</v>
      </c>
      <c r="D26">
        <v>29</v>
      </c>
      <c r="E26">
        <v>1.9610000000000001</v>
      </c>
      <c r="F26">
        <v>0.90900000000000003</v>
      </c>
      <c r="G26">
        <v>-2.3E-2</v>
      </c>
      <c r="H26">
        <v>2.1000000000000001E-2</v>
      </c>
      <c r="I26">
        <v>0.93799999999999994</v>
      </c>
      <c r="J26">
        <v>4.2999999999999997E-2</v>
      </c>
      <c r="K26">
        <v>1.121</v>
      </c>
    </row>
    <row r="27" spans="1:11">
      <c r="A27" t="s">
        <v>254</v>
      </c>
      <c r="B27" t="s">
        <v>261</v>
      </c>
      <c r="C27">
        <v>5</v>
      </c>
      <c r="D27">
        <v>30</v>
      </c>
      <c r="E27">
        <v>2.5259999999999998</v>
      </c>
      <c r="F27">
        <v>0.878</v>
      </c>
      <c r="G27">
        <v>0</v>
      </c>
      <c r="H27">
        <v>2.5000000000000001E-2</v>
      </c>
      <c r="I27">
        <v>0.99</v>
      </c>
      <c r="J27">
        <v>1.7000000000000001E-2</v>
      </c>
      <c r="K27">
        <v>1.046</v>
      </c>
    </row>
    <row r="28" spans="1:11">
      <c r="A28" t="s">
        <v>255</v>
      </c>
      <c r="B28" t="s">
        <v>263</v>
      </c>
      <c r="C28">
        <v>2</v>
      </c>
      <c r="D28">
        <v>11</v>
      </c>
      <c r="E28">
        <v>1.7490000000000001</v>
      </c>
      <c r="F28">
        <v>0.752</v>
      </c>
      <c r="G28">
        <v>0</v>
      </c>
      <c r="H28">
        <v>0</v>
      </c>
      <c r="I28">
        <v>0.56299999999999994</v>
      </c>
      <c r="J28">
        <v>2.8000000000000001E-2</v>
      </c>
      <c r="K28">
        <v>1.077</v>
      </c>
    </row>
    <row r="29" spans="1:11">
      <c r="A29" t="s">
        <v>256</v>
      </c>
      <c r="B29" t="s">
        <v>262</v>
      </c>
      <c r="C29">
        <v>4</v>
      </c>
      <c r="D29">
        <v>38</v>
      </c>
      <c r="E29">
        <v>0</v>
      </c>
      <c r="F29">
        <v>2.0150000000000001</v>
      </c>
      <c r="G29">
        <v>-1.4E-2</v>
      </c>
      <c r="H29">
        <v>8.0000000000000002E-3</v>
      </c>
      <c r="I29">
        <v>0.995</v>
      </c>
      <c r="J29">
        <v>6.0000000000000001E-3</v>
      </c>
      <c r="K29">
        <v>1.016</v>
      </c>
    </row>
    <row r="33" spans="1:4">
      <c r="A33" t="s">
        <v>264</v>
      </c>
    </row>
    <row r="35" spans="1:4">
      <c r="B35" t="s">
        <v>265</v>
      </c>
      <c r="D35" t="s">
        <v>271</v>
      </c>
    </row>
    <row r="36" spans="1:4">
      <c r="B36" t="s">
        <v>266</v>
      </c>
      <c r="C36" t="s">
        <v>267</v>
      </c>
    </row>
    <row r="37" spans="1:4">
      <c r="A37" t="s">
        <v>268</v>
      </c>
      <c r="B37">
        <v>0.71</v>
      </c>
      <c r="C37">
        <v>0.56999999999999995</v>
      </c>
      <c r="D37">
        <v>0.68</v>
      </c>
    </row>
    <row r="38" spans="1:4">
      <c r="A38" s="42" t="s">
        <v>269</v>
      </c>
      <c r="B38">
        <v>0.15</v>
      </c>
      <c r="C38">
        <v>0.09</v>
      </c>
      <c r="D38">
        <v>0.09</v>
      </c>
    </row>
    <row r="39" spans="1:4">
      <c r="A39" t="s">
        <v>270</v>
      </c>
      <c r="B39" s="122">
        <v>0.62</v>
      </c>
      <c r="C39" s="122"/>
    </row>
    <row r="40" spans="1:4">
      <c r="A40" s="42" t="s">
        <v>269</v>
      </c>
      <c r="B40" s="122">
        <v>0.13</v>
      </c>
      <c r="C40" s="122"/>
    </row>
  </sheetData>
  <mergeCells count="2">
    <mergeCell ref="B39:C39"/>
    <mergeCell ref="B40:C40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/>
  </sheetViews>
  <sheetFormatPr baseColWidth="10" defaultRowHeight="12.75"/>
  <sheetData>
    <row r="1" spans="1:15">
      <c r="A1" t="s">
        <v>493</v>
      </c>
    </row>
    <row r="4" spans="1:15">
      <c r="A4" t="s">
        <v>467</v>
      </c>
    </row>
    <row r="5" spans="1:15">
      <c r="A5" t="s">
        <v>468</v>
      </c>
    </row>
    <row r="6" spans="1:15">
      <c r="A6" t="s">
        <v>477</v>
      </c>
    </row>
    <row r="7" spans="1:15">
      <c r="A7" t="s">
        <v>478</v>
      </c>
    </row>
    <row r="10" spans="1:15">
      <c r="A10" t="s">
        <v>479</v>
      </c>
    </row>
    <row r="11" spans="1:15" ht="25.5">
      <c r="A11" s="47"/>
      <c r="B11" s="123" t="s">
        <v>470</v>
      </c>
      <c r="C11" s="123"/>
      <c r="D11" s="123"/>
      <c r="E11" s="123" t="s">
        <v>474</v>
      </c>
      <c r="F11" s="123"/>
      <c r="G11" s="123"/>
      <c r="H11" s="96" t="s">
        <v>475</v>
      </c>
      <c r="I11" s="123" t="s">
        <v>476</v>
      </c>
      <c r="J11" s="123"/>
      <c r="K11" s="123"/>
      <c r="L11" s="124" t="s">
        <v>480</v>
      </c>
      <c r="M11" s="124"/>
      <c r="N11" s="124"/>
      <c r="O11" s="124"/>
    </row>
    <row r="12" spans="1:15">
      <c r="A12" s="35" t="s">
        <v>469</v>
      </c>
      <c r="B12" s="35" t="s">
        <v>471</v>
      </c>
      <c r="C12" s="35" t="s">
        <v>472</v>
      </c>
      <c r="D12" s="35" t="s">
        <v>473</v>
      </c>
      <c r="E12" s="35" t="s">
        <v>471</v>
      </c>
      <c r="F12" s="35" t="s">
        <v>472</v>
      </c>
      <c r="G12" s="35" t="s">
        <v>473</v>
      </c>
      <c r="H12" s="35"/>
      <c r="I12" s="35" t="s">
        <v>471</v>
      </c>
      <c r="J12" s="35" t="s">
        <v>472</v>
      </c>
      <c r="K12" s="35" t="s">
        <v>473</v>
      </c>
      <c r="L12" s="35" t="s">
        <v>471</v>
      </c>
      <c r="M12" s="35" t="s">
        <v>472</v>
      </c>
      <c r="N12" s="35" t="s">
        <v>471</v>
      </c>
      <c r="O12" s="35" t="s">
        <v>472</v>
      </c>
    </row>
    <row r="13" spans="1:15">
      <c r="A13">
        <v>1</v>
      </c>
      <c r="B13" s="95">
        <v>1.47</v>
      </c>
      <c r="C13" s="95">
        <v>1.41</v>
      </c>
      <c r="D13" s="95">
        <v>1.44</v>
      </c>
      <c r="E13" s="95">
        <v>0.14000000000000001</v>
      </c>
      <c r="F13" s="95">
        <v>0.16</v>
      </c>
      <c r="G13" s="95">
        <v>0.15</v>
      </c>
      <c r="H13" s="95">
        <v>244.5</v>
      </c>
      <c r="I13" s="95">
        <v>21.21</v>
      </c>
      <c r="J13" s="95">
        <v>18.09</v>
      </c>
      <c r="K13" s="95">
        <v>19.649999999999999</v>
      </c>
      <c r="L13" s="95">
        <v>21.7</v>
      </c>
      <c r="M13" s="95">
        <v>23.9</v>
      </c>
      <c r="N13" s="95">
        <v>19</v>
      </c>
      <c r="O13" s="95">
        <v>21.7</v>
      </c>
    </row>
    <row r="14" spans="1:15">
      <c r="B14" s="95">
        <v>0.20200000000000001</v>
      </c>
      <c r="C14" s="95">
        <v>0.14399999999999999</v>
      </c>
      <c r="D14" s="95">
        <v>0.11799999999999999</v>
      </c>
      <c r="E14" s="95">
        <v>5.0000000000000001E-3</v>
      </c>
      <c r="F14" s="95">
        <v>8.9999999999999993E-3</v>
      </c>
      <c r="G14" s="95">
        <v>5.0000000000000001E-3</v>
      </c>
      <c r="H14" s="95">
        <v>25.9</v>
      </c>
      <c r="I14" s="95">
        <v>1.23</v>
      </c>
      <c r="J14" s="95">
        <v>1.1200000000000001</v>
      </c>
      <c r="K14" s="95">
        <v>0.53</v>
      </c>
      <c r="L14" s="95">
        <v>0.6</v>
      </c>
      <c r="M14" s="95">
        <v>2.5</v>
      </c>
      <c r="N14" s="95">
        <v>1.4</v>
      </c>
      <c r="O14" s="95">
        <v>1.2</v>
      </c>
    </row>
    <row r="15" spans="1:15">
      <c r="A15">
        <v>2</v>
      </c>
      <c r="B15" s="95">
        <v>3.85</v>
      </c>
      <c r="C15" s="95">
        <v>4.7699999999999996</v>
      </c>
      <c r="D15" s="95">
        <v>4.3099999999999996</v>
      </c>
      <c r="E15" s="95">
        <v>0.18</v>
      </c>
      <c r="F15" s="95">
        <v>0.18</v>
      </c>
      <c r="G15" s="95">
        <v>0.18</v>
      </c>
      <c r="H15" s="95">
        <v>167.1</v>
      </c>
      <c r="I15" s="95">
        <v>18.52</v>
      </c>
      <c r="J15" s="95">
        <v>15.12</v>
      </c>
      <c r="K15" s="95">
        <v>16.82</v>
      </c>
      <c r="L15" s="95">
        <v>25.9</v>
      </c>
      <c r="M15" s="95">
        <v>31.5</v>
      </c>
      <c r="N15" s="95">
        <v>21.3</v>
      </c>
      <c r="O15" s="95">
        <v>28.5</v>
      </c>
    </row>
    <row r="16" spans="1:15">
      <c r="B16" s="95">
        <v>0.31900000000000001</v>
      </c>
      <c r="C16" s="95">
        <v>1E-3</v>
      </c>
      <c r="D16" s="95">
        <v>0.32300000000000001</v>
      </c>
      <c r="E16" s="95">
        <v>1.4E-2</v>
      </c>
      <c r="F16" s="95">
        <v>1.2999999999999999E-2</v>
      </c>
      <c r="G16" s="95">
        <v>8.9999999999999993E-3</v>
      </c>
      <c r="H16" s="95">
        <v>13.1</v>
      </c>
      <c r="I16" s="95">
        <v>1.41</v>
      </c>
      <c r="J16" s="95">
        <v>1.68</v>
      </c>
      <c r="K16" s="95">
        <v>0.67</v>
      </c>
      <c r="L16" s="95">
        <v>0.5</v>
      </c>
      <c r="M16" s="95">
        <v>6.3</v>
      </c>
      <c r="N16" s="95">
        <v>2</v>
      </c>
      <c r="O16" s="95">
        <v>2.4</v>
      </c>
    </row>
    <row r="17" spans="1:15">
      <c r="A17">
        <v>3</v>
      </c>
      <c r="B17" s="95">
        <v>9.5500000000000007</v>
      </c>
      <c r="C17" s="95">
        <v>11.28</v>
      </c>
      <c r="D17" s="95">
        <v>10.31</v>
      </c>
      <c r="E17" s="95">
        <v>0.22</v>
      </c>
      <c r="F17" s="95">
        <v>0.27</v>
      </c>
      <c r="G17" s="95">
        <v>0.25</v>
      </c>
      <c r="H17" s="95">
        <v>124.3</v>
      </c>
      <c r="I17" s="95">
        <v>13.69</v>
      </c>
      <c r="J17" s="95">
        <v>10.72</v>
      </c>
      <c r="K17" s="95">
        <v>12.29</v>
      </c>
      <c r="L17" s="95">
        <v>34</v>
      </c>
      <c r="M17" s="95">
        <v>46.3</v>
      </c>
      <c r="N17" s="95">
        <v>31.2</v>
      </c>
      <c r="O17" s="95">
        <v>36.4</v>
      </c>
    </row>
    <row r="18" spans="1:15">
      <c r="B18" s="95">
        <v>0.34100000000000003</v>
      </c>
      <c r="C18" s="95">
        <v>1E-3</v>
      </c>
      <c r="D18" s="95">
        <v>0.59099999999999997</v>
      </c>
      <c r="E18" s="95">
        <v>1.2E-2</v>
      </c>
      <c r="F18" s="95">
        <v>2.7E-2</v>
      </c>
      <c r="G18" s="95">
        <v>1.6E-2</v>
      </c>
      <c r="H18" s="95">
        <v>17.2</v>
      </c>
      <c r="I18" s="95">
        <v>0.73</v>
      </c>
      <c r="J18" s="95">
        <v>0.75</v>
      </c>
      <c r="K18" s="95">
        <v>0.39</v>
      </c>
      <c r="L18" s="95">
        <v>2.5</v>
      </c>
      <c r="M18" s="95">
        <v>2</v>
      </c>
      <c r="N18" s="95">
        <v>2.9</v>
      </c>
      <c r="O18" s="95">
        <v>2.2999999999999998</v>
      </c>
    </row>
    <row r="19" spans="1:15">
      <c r="A19">
        <v>4</v>
      </c>
      <c r="B19" s="95">
        <v>10.06</v>
      </c>
      <c r="C19" s="95">
        <v>14.1</v>
      </c>
      <c r="D19" s="95">
        <v>11.68</v>
      </c>
      <c r="E19" s="95">
        <v>0.25</v>
      </c>
      <c r="F19" s="95">
        <v>0.33</v>
      </c>
      <c r="G19" s="95">
        <v>0.28999999999999998</v>
      </c>
      <c r="H19" s="95">
        <v>107.3</v>
      </c>
      <c r="I19" s="95">
        <v>12.59</v>
      </c>
      <c r="J19" s="95">
        <v>11.69</v>
      </c>
      <c r="K19" s="95">
        <v>12.22</v>
      </c>
      <c r="L19" s="95">
        <v>33.9</v>
      </c>
      <c r="N19" s="95">
        <v>38.200000000000003</v>
      </c>
      <c r="O19" s="95">
        <v>37.700000000000003</v>
      </c>
    </row>
    <row r="20" spans="1:15">
      <c r="B20" s="95">
        <v>1E-3</v>
      </c>
      <c r="C20" s="95">
        <v>2E-3</v>
      </c>
      <c r="D20" s="95">
        <v>1.0760000000000001</v>
      </c>
      <c r="E20" s="95">
        <v>1.7999999999999999E-2</v>
      </c>
      <c r="F20" s="95">
        <v>4.3999999999999997E-2</v>
      </c>
      <c r="G20" s="95">
        <v>0.02</v>
      </c>
      <c r="H20" s="95">
        <v>18.8</v>
      </c>
      <c r="I20" s="95">
        <v>0.72</v>
      </c>
      <c r="J20" s="95">
        <v>3.8</v>
      </c>
      <c r="K20" s="95">
        <v>0.81</v>
      </c>
      <c r="L20" s="95">
        <v>2.5</v>
      </c>
      <c r="N20" s="95">
        <v>3.1</v>
      </c>
      <c r="O20" s="95">
        <v>10.4</v>
      </c>
    </row>
  </sheetData>
  <mergeCells count="4">
    <mergeCell ref="B11:D11"/>
    <mergeCell ref="E11:G11"/>
    <mergeCell ref="I11:K11"/>
    <mergeCell ref="L11:O1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opLeftCell="A36" workbookViewId="0">
      <selection sqref="A1:IV65536"/>
    </sheetView>
  </sheetViews>
  <sheetFormatPr baseColWidth="10" defaultRowHeight="12.75"/>
  <cols>
    <col min="1" max="1" width="16" customWidth="1"/>
    <col min="2" max="3" width="23.140625" customWidth="1"/>
    <col min="4" max="4" width="23.28515625" customWidth="1"/>
  </cols>
  <sheetData>
    <row r="1" spans="1:4">
      <c r="A1" t="s">
        <v>1251</v>
      </c>
    </row>
    <row r="3" spans="1:4">
      <c r="A3" t="s">
        <v>1294</v>
      </c>
    </row>
    <row r="4" spans="1:4">
      <c r="A4" t="s">
        <v>1305</v>
      </c>
    </row>
    <row r="6" spans="1:4">
      <c r="A6" s="26" t="s">
        <v>1254</v>
      </c>
    </row>
    <row r="8" spans="1:4">
      <c r="A8" t="s">
        <v>1255</v>
      </c>
      <c r="B8" t="s">
        <v>1256</v>
      </c>
      <c r="C8" t="s">
        <v>1258</v>
      </c>
      <c r="D8" t="s">
        <v>1257</v>
      </c>
    </row>
    <row r="9" spans="1:4" s="98" customFormat="1" ht="25.5">
      <c r="A9" s="98" t="s">
        <v>1259</v>
      </c>
      <c r="B9" s="98" t="s">
        <v>1260</v>
      </c>
      <c r="C9" s="98" t="s">
        <v>1261</v>
      </c>
      <c r="D9" s="98" t="s">
        <v>1262</v>
      </c>
    </row>
    <row r="10" spans="1:4" s="98" customFormat="1">
      <c r="A10" s="98" t="s">
        <v>1263</v>
      </c>
      <c r="B10" s="98">
        <v>350</v>
      </c>
      <c r="C10" s="98" t="s">
        <v>1264</v>
      </c>
      <c r="D10" s="98">
        <v>19</v>
      </c>
    </row>
    <row r="11" spans="1:4" s="98" customFormat="1" ht="25.5">
      <c r="A11" s="98" t="s">
        <v>1268</v>
      </c>
      <c r="B11" s="98" t="s">
        <v>1267</v>
      </c>
      <c r="C11" s="98" t="s">
        <v>1266</v>
      </c>
      <c r="D11" s="98" t="s">
        <v>1265</v>
      </c>
    </row>
    <row r="12" spans="1:4" s="98" customFormat="1">
      <c r="A12" s="98" t="s">
        <v>1269</v>
      </c>
      <c r="B12" s="98">
        <v>8</v>
      </c>
      <c r="C12" s="98">
        <v>7.8</v>
      </c>
      <c r="D12" s="98">
        <v>8.6</v>
      </c>
    </row>
    <row r="13" spans="1:4" s="98" customFormat="1">
      <c r="A13" s="98" t="s">
        <v>1271</v>
      </c>
      <c r="B13" s="98">
        <v>650</v>
      </c>
      <c r="C13" s="99" t="s">
        <v>1270</v>
      </c>
      <c r="D13" s="98">
        <v>760</v>
      </c>
    </row>
    <row r="14" spans="1:4" s="98" customFormat="1" ht="38.25">
      <c r="A14" s="98" t="s">
        <v>1272</v>
      </c>
      <c r="B14" s="98">
        <v>155</v>
      </c>
      <c r="C14" s="98">
        <v>140</v>
      </c>
      <c r="D14" s="98">
        <v>157</v>
      </c>
    </row>
    <row r="15" spans="1:4" s="98" customFormat="1" ht="76.5">
      <c r="A15" s="98" t="s">
        <v>1276</v>
      </c>
      <c r="B15" s="98" t="s">
        <v>1275</v>
      </c>
      <c r="C15" s="98" t="s">
        <v>1274</v>
      </c>
      <c r="D15" s="98" t="s">
        <v>1273</v>
      </c>
    </row>
    <row r="16" spans="1:4" s="98" customFormat="1" ht="76.5">
      <c r="A16" s="98" t="s">
        <v>1277</v>
      </c>
      <c r="B16" s="98" t="s">
        <v>1278</v>
      </c>
      <c r="C16" s="98" t="s">
        <v>1279</v>
      </c>
      <c r="D16" s="98" t="s">
        <v>1280</v>
      </c>
    </row>
    <row r="20" spans="1:4">
      <c r="A20" s="26" t="s">
        <v>1281</v>
      </c>
    </row>
    <row r="21" spans="1:4">
      <c r="A21" t="s">
        <v>1255</v>
      </c>
      <c r="B21" t="s">
        <v>1256</v>
      </c>
      <c r="C21" t="s">
        <v>1258</v>
      </c>
      <c r="D21" t="s">
        <v>1257</v>
      </c>
    </row>
    <row r="22" spans="1:4">
      <c r="A22" t="s">
        <v>1282</v>
      </c>
      <c r="B22">
        <v>1983</v>
      </c>
      <c r="C22">
        <v>1986</v>
      </c>
      <c r="D22">
        <v>1989</v>
      </c>
    </row>
    <row r="23" spans="1:4">
      <c r="A23" t="s">
        <v>1283</v>
      </c>
      <c r="B23">
        <v>3.4</v>
      </c>
      <c r="C23">
        <v>0.5</v>
      </c>
      <c r="D23">
        <v>2.2999999999999998</v>
      </c>
    </row>
    <row r="24" spans="1:4">
      <c r="A24" t="s">
        <v>1284</v>
      </c>
      <c r="B24">
        <v>4</v>
      </c>
      <c r="C24">
        <v>3</v>
      </c>
      <c r="D24">
        <v>3</v>
      </c>
    </row>
    <row r="25" spans="1:4">
      <c r="A25" t="s">
        <v>1287</v>
      </c>
      <c r="B25" t="s">
        <v>1286</v>
      </c>
      <c r="C25" t="s">
        <v>1286</v>
      </c>
      <c r="D25" t="s">
        <v>1285</v>
      </c>
    </row>
    <row r="26" spans="1:4">
      <c r="A26" t="s">
        <v>1288</v>
      </c>
      <c r="B26" t="s">
        <v>1289</v>
      </c>
      <c r="C26" t="s">
        <v>1290</v>
      </c>
      <c r="D26" t="s">
        <v>1291</v>
      </c>
    </row>
    <row r="27" spans="1:4">
      <c r="A27" t="s">
        <v>1292</v>
      </c>
      <c r="B27" t="s">
        <v>1295</v>
      </c>
      <c r="C27" t="s">
        <v>1296</v>
      </c>
      <c r="D27" t="s">
        <v>1296</v>
      </c>
    </row>
    <row r="28" spans="1:4">
      <c r="A28" t="s">
        <v>1300</v>
      </c>
      <c r="B28" s="91" t="s">
        <v>1299</v>
      </c>
      <c r="C28" s="91" t="s">
        <v>1298</v>
      </c>
      <c r="D28" s="100" t="s">
        <v>1297</v>
      </c>
    </row>
    <row r="29" spans="1:4">
      <c r="A29" t="s">
        <v>1301</v>
      </c>
      <c r="B29" t="s">
        <v>1302</v>
      </c>
      <c r="C29" t="s">
        <v>1303</v>
      </c>
      <c r="D29" t="s">
        <v>1304</v>
      </c>
    </row>
    <row r="32" spans="1:4">
      <c r="A32" t="s">
        <v>1316</v>
      </c>
    </row>
    <row r="34" spans="1:5">
      <c r="A34" t="s">
        <v>1308</v>
      </c>
      <c r="B34" t="s">
        <v>1408</v>
      </c>
      <c r="C34" t="s">
        <v>1306</v>
      </c>
      <c r="D34" t="s">
        <v>1307</v>
      </c>
      <c r="E34" t="s">
        <v>1317</v>
      </c>
    </row>
    <row r="35" spans="1:5">
      <c r="A35" t="s">
        <v>1293</v>
      </c>
      <c r="B35" t="s">
        <v>1256</v>
      </c>
      <c r="C35">
        <v>1</v>
      </c>
      <c r="D35">
        <v>695</v>
      </c>
      <c r="E35">
        <v>25.5</v>
      </c>
    </row>
    <row r="36" spans="1:5">
      <c r="C36">
        <v>2</v>
      </c>
      <c r="D36">
        <v>510</v>
      </c>
      <c r="E36">
        <v>18</v>
      </c>
    </row>
    <row r="37" spans="1:5">
      <c r="B37" t="s">
        <v>1258</v>
      </c>
      <c r="C37">
        <v>1</v>
      </c>
      <c r="D37">
        <v>520</v>
      </c>
      <c r="E37">
        <v>17.600000000000001</v>
      </c>
    </row>
    <row r="38" spans="1:5">
      <c r="C38">
        <v>2</v>
      </c>
      <c r="D38">
        <v>960</v>
      </c>
      <c r="E38">
        <v>54</v>
      </c>
    </row>
    <row r="39" spans="1:5">
      <c r="B39" t="s">
        <v>1257</v>
      </c>
      <c r="C39">
        <v>1</v>
      </c>
      <c r="D39">
        <v>510</v>
      </c>
      <c r="E39">
        <v>15</v>
      </c>
    </row>
    <row r="40" spans="1:5">
      <c r="A40" t="s">
        <v>1309</v>
      </c>
      <c r="B40" t="s">
        <v>1256</v>
      </c>
      <c r="C40">
        <v>1</v>
      </c>
      <c r="D40">
        <v>680</v>
      </c>
      <c r="E40">
        <v>29</v>
      </c>
    </row>
    <row r="41" spans="1:5">
      <c r="C41">
        <v>2</v>
      </c>
      <c r="D41">
        <v>500</v>
      </c>
      <c r="E41">
        <v>18.5</v>
      </c>
    </row>
    <row r="42" spans="1:5">
      <c r="B42" t="s">
        <v>1258</v>
      </c>
      <c r="C42">
        <v>1</v>
      </c>
      <c r="D42">
        <v>470</v>
      </c>
      <c r="E42">
        <v>10</v>
      </c>
    </row>
    <row r="43" spans="1:5">
      <c r="C43">
        <v>2</v>
      </c>
      <c r="D43">
        <v>970</v>
      </c>
      <c r="E43">
        <v>49</v>
      </c>
    </row>
    <row r="44" spans="1:5">
      <c r="B44" t="s">
        <v>1257</v>
      </c>
      <c r="C44">
        <v>1</v>
      </c>
      <c r="D44">
        <v>520</v>
      </c>
      <c r="E44">
        <v>15</v>
      </c>
    </row>
    <row r="45" spans="1:5">
      <c r="A45" t="s">
        <v>1310</v>
      </c>
      <c r="B45" t="s">
        <v>1256</v>
      </c>
      <c r="C45">
        <v>1</v>
      </c>
      <c r="D45">
        <v>680</v>
      </c>
      <c r="E45">
        <v>27.5</v>
      </c>
    </row>
    <row r="46" spans="1:5">
      <c r="C46">
        <v>2</v>
      </c>
      <c r="D46">
        <v>540</v>
      </c>
      <c r="E46">
        <v>22</v>
      </c>
    </row>
    <row r="47" spans="1:5">
      <c r="B47" t="s">
        <v>1258</v>
      </c>
      <c r="C47">
        <v>1</v>
      </c>
      <c r="D47">
        <v>550</v>
      </c>
      <c r="E47">
        <v>20</v>
      </c>
    </row>
    <row r="48" spans="1:5">
      <c r="C48">
        <v>2</v>
      </c>
      <c r="D48">
        <v>1010</v>
      </c>
      <c r="E48">
        <v>57</v>
      </c>
    </row>
    <row r="49" spans="1:5">
      <c r="B49" t="s">
        <v>1257</v>
      </c>
      <c r="C49">
        <v>1</v>
      </c>
      <c r="D49">
        <v>570</v>
      </c>
      <c r="E49">
        <v>15</v>
      </c>
    </row>
    <row r="50" spans="1:5">
      <c r="A50" t="s">
        <v>314</v>
      </c>
      <c r="B50" t="s">
        <v>1256</v>
      </c>
      <c r="C50">
        <v>1</v>
      </c>
      <c r="D50">
        <v>700</v>
      </c>
      <c r="E50">
        <v>27.5</v>
      </c>
    </row>
    <row r="51" spans="1:5">
      <c r="C51">
        <v>2</v>
      </c>
      <c r="D51">
        <v>505</v>
      </c>
      <c r="E51">
        <v>16.5</v>
      </c>
    </row>
    <row r="52" spans="1:5">
      <c r="A52" t="s">
        <v>1311</v>
      </c>
      <c r="B52" t="s">
        <v>1256</v>
      </c>
      <c r="C52">
        <v>1</v>
      </c>
      <c r="D52">
        <v>720</v>
      </c>
      <c r="E52">
        <v>27.5</v>
      </c>
    </row>
    <row r="53" spans="1:5">
      <c r="C53">
        <v>2</v>
      </c>
      <c r="D53">
        <v>510</v>
      </c>
      <c r="E53">
        <v>20</v>
      </c>
    </row>
    <row r="54" spans="1:5">
      <c r="A54" t="s">
        <v>1312</v>
      </c>
      <c r="B54" t="s">
        <v>1256</v>
      </c>
      <c r="C54">
        <v>1</v>
      </c>
      <c r="D54">
        <v>685</v>
      </c>
      <c r="E54">
        <v>25</v>
      </c>
    </row>
    <row r="55" spans="1:5">
      <c r="C55">
        <v>2</v>
      </c>
      <c r="D55">
        <v>510</v>
      </c>
      <c r="E55">
        <v>18</v>
      </c>
    </row>
    <row r="56" spans="1:5">
      <c r="A56" t="s">
        <v>1313</v>
      </c>
      <c r="B56" t="s">
        <v>1256</v>
      </c>
      <c r="C56">
        <v>1</v>
      </c>
      <c r="D56">
        <v>700</v>
      </c>
      <c r="E56">
        <v>27</v>
      </c>
    </row>
    <row r="57" spans="1:5">
      <c r="C57">
        <v>2</v>
      </c>
      <c r="D57">
        <v>555</v>
      </c>
      <c r="E57">
        <v>23.5</v>
      </c>
    </row>
    <row r="58" spans="1:5">
      <c r="B58" t="s">
        <v>1258</v>
      </c>
      <c r="C58">
        <v>1</v>
      </c>
      <c r="D58">
        <v>485</v>
      </c>
      <c r="E58">
        <v>15</v>
      </c>
    </row>
    <row r="59" spans="1:5">
      <c r="C59">
        <v>2</v>
      </c>
      <c r="D59">
        <v>1025</v>
      </c>
      <c r="E59">
        <v>54</v>
      </c>
    </row>
    <row r="60" spans="1:5">
      <c r="B60" t="s">
        <v>1257</v>
      </c>
      <c r="C60">
        <v>1</v>
      </c>
      <c r="D60">
        <v>560</v>
      </c>
      <c r="E60">
        <v>16.5</v>
      </c>
    </row>
    <row r="61" spans="1:5">
      <c r="A61" t="s">
        <v>1314</v>
      </c>
      <c r="B61" t="s">
        <v>1256</v>
      </c>
      <c r="C61">
        <v>1</v>
      </c>
      <c r="D61">
        <v>690</v>
      </c>
      <c r="E61">
        <v>29</v>
      </c>
    </row>
    <row r="62" spans="1:5">
      <c r="C62">
        <v>2</v>
      </c>
      <c r="D62">
        <v>550</v>
      </c>
      <c r="E62">
        <v>22</v>
      </c>
    </row>
    <row r="63" spans="1:5">
      <c r="A63" t="s">
        <v>1315</v>
      </c>
      <c r="B63" t="s">
        <v>1256</v>
      </c>
      <c r="C63">
        <v>1</v>
      </c>
      <c r="D63">
        <v>715</v>
      </c>
      <c r="E63">
        <v>29</v>
      </c>
    </row>
    <row r="64" spans="1:5">
      <c r="C64">
        <v>2</v>
      </c>
      <c r="D64">
        <v>550</v>
      </c>
      <c r="E64">
        <v>23</v>
      </c>
    </row>
    <row r="66" spans="1:7">
      <c r="A66" s="26" t="s">
        <v>1318</v>
      </c>
    </row>
    <row r="68" spans="1:7">
      <c r="B68" t="s">
        <v>1308</v>
      </c>
    </row>
    <row r="69" spans="1:7">
      <c r="A69" t="s">
        <v>1319</v>
      </c>
      <c r="B69" t="s">
        <v>1293</v>
      </c>
      <c r="C69" t="s">
        <v>1309</v>
      </c>
      <c r="D69" t="s">
        <v>1310</v>
      </c>
    </row>
    <row r="70" spans="1:7">
      <c r="A70" t="s">
        <v>1320</v>
      </c>
      <c r="B70">
        <v>16</v>
      </c>
      <c r="C70">
        <v>13.5</v>
      </c>
      <c r="D70">
        <v>18</v>
      </c>
    </row>
    <row r="71" spans="1:7">
      <c r="A71" t="s">
        <v>1321</v>
      </c>
      <c r="B71">
        <v>20</v>
      </c>
      <c r="C71">
        <v>24</v>
      </c>
      <c r="D71">
        <v>24</v>
      </c>
    </row>
    <row r="72" spans="1:7">
      <c r="A72" t="s">
        <v>1322</v>
      </c>
      <c r="B72">
        <v>16.2</v>
      </c>
      <c r="C72">
        <v>23</v>
      </c>
      <c r="D72">
        <v>22</v>
      </c>
    </row>
    <row r="75" spans="1:7">
      <c r="A75" s="26" t="s">
        <v>1323</v>
      </c>
    </row>
    <row r="76" spans="1:7">
      <c r="B76" t="s">
        <v>1324</v>
      </c>
      <c r="C76" t="s">
        <v>1256</v>
      </c>
      <c r="E76" t="s">
        <v>1258</v>
      </c>
      <c r="G76" t="s">
        <v>1257</v>
      </c>
    </row>
    <row r="77" spans="1:7">
      <c r="B77" t="s">
        <v>1306</v>
      </c>
      <c r="C77">
        <v>1</v>
      </c>
      <c r="D77">
        <v>2</v>
      </c>
      <c r="E77">
        <v>1</v>
      </c>
      <c r="F77">
        <v>2</v>
      </c>
      <c r="G77">
        <v>1</v>
      </c>
    </row>
    <row r="78" spans="1:7">
      <c r="B78" t="s">
        <v>1325</v>
      </c>
    </row>
    <row r="79" spans="1:7">
      <c r="B79" t="s">
        <v>1293</v>
      </c>
      <c r="C79">
        <v>5.0999999999999996</v>
      </c>
      <c r="D79">
        <v>3.6</v>
      </c>
      <c r="E79">
        <v>3.6</v>
      </c>
      <c r="F79">
        <v>10.8</v>
      </c>
      <c r="G79">
        <v>3.6</v>
      </c>
    </row>
    <row r="80" spans="1:7">
      <c r="B80" t="s">
        <v>1309</v>
      </c>
      <c r="C80">
        <v>5.8</v>
      </c>
      <c r="D80">
        <v>3.8</v>
      </c>
      <c r="E80">
        <v>2</v>
      </c>
      <c r="F80">
        <v>9.9</v>
      </c>
      <c r="G80">
        <v>4.2</v>
      </c>
    </row>
    <row r="81" spans="2:7">
      <c r="B81" t="s">
        <v>1310</v>
      </c>
      <c r="C81">
        <v>5.6</v>
      </c>
      <c r="D81">
        <v>4.5</v>
      </c>
      <c r="E81">
        <v>4</v>
      </c>
      <c r="F81">
        <v>11.5</v>
      </c>
      <c r="G81">
        <v>4</v>
      </c>
    </row>
    <row r="82" spans="2:7">
      <c r="B82" t="s">
        <v>1313</v>
      </c>
      <c r="C82">
        <v>5.5</v>
      </c>
      <c r="D82">
        <v>4.4000000000000004</v>
      </c>
      <c r="E82">
        <v>3.1</v>
      </c>
      <c r="F82">
        <v>10.9</v>
      </c>
      <c r="G82">
        <v>4.4000000000000004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B3" sqref="B3"/>
    </sheetView>
  </sheetViews>
  <sheetFormatPr baseColWidth="10" defaultRowHeight="12.75"/>
  <sheetData>
    <row r="1" spans="1:15">
      <c r="A1" t="s">
        <v>1379</v>
      </c>
    </row>
    <row r="3" spans="1:15">
      <c r="A3" t="s">
        <v>1380</v>
      </c>
    </row>
    <row r="5" spans="1:15">
      <c r="A5" t="s">
        <v>1381</v>
      </c>
      <c r="B5" t="s">
        <v>1382</v>
      </c>
      <c r="C5" t="s">
        <v>1383</v>
      </c>
      <c r="D5" t="s">
        <v>1384</v>
      </c>
      <c r="F5" t="s">
        <v>1389</v>
      </c>
      <c r="H5" t="s">
        <v>1386</v>
      </c>
      <c r="L5" t="s">
        <v>1390</v>
      </c>
    </row>
    <row r="6" spans="1:15">
      <c r="D6" t="s">
        <v>1385</v>
      </c>
      <c r="E6" t="s">
        <v>1203</v>
      </c>
      <c r="F6" t="s">
        <v>1385</v>
      </c>
      <c r="H6" t="s">
        <v>1387</v>
      </c>
      <c r="I6" t="s">
        <v>1199</v>
      </c>
      <c r="J6" t="s">
        <v>1388</v>
      </c>
      <c r="K6" t="s">
        <v>1203</v>
      </c>
      <c r="L6" t="s">
        <v>1387</v>
      </c>
      <c r="M6" t="s">
        <v>1199</v>
      </c>
      <c r="N6" t="s">
        <v>1388</v>
      </c>
      <c r="O6" t="s">
        <v>1203</v>
      </c>
    </row>
    <row r="7" spans="1:15">
      <c r="A7">
        <v>2</v>
      </c>
      <c r="B7">
        <v>42200</v>
      </c>
      <c r="C7" s="110">
        <f>B7*2.471</f>
        <v>104276.2</v>
      </c>
      <c r="D7">
        <v>1850</v>
      </c>
      <c r="E7">
        <v>3520</v>
      </c>
      <c r="F7" s="110">
        <f>D7*0.454*2.471</f>
        <v>2075.3928999999998</v>
      </c>
      <c r="G7" s="110">
        <f>E7*0.454*2.471</f>
        <v>3948.8556800000006</v>
      </c>
      <c r="H7">
        <v>510</v>
      </c>
      <c r="I7">
        <v>540</v>
      </c>
      <c r="J7">
        <v>320</v>
      </c>
      <c r="K7">
        <v>1370</v>
      </c>
      <c r="L7" s="110">
        <f>H7*0.454*2.471</f>
        <v>572.13534000000004</v>
      </c>
      <c r="M7" s="110">
        <f>I7*0.454*2.471</f>
        <v>605.79035999999996</v>
      </c>
      <c r="N7" s="110">
        <f>J7*0.454*2.471</f>
        <v>358.98688000000004</v>
      </c>
      <c r="O7" s="110">
        <f>K7*0.454*2.471</f>
        <v>1536.9125800000002</v>
      </c>
    </row>
    <row r="8" spans="1:15">
      <c r="A8">
        <v>4</v>
      </c>
      <c r="B8">
        <v>37500</v>
      </c>
      <c r="C8" s="110">
        <f t="shared" ref="C8:C17" si="0">B8*2.471</f>
        <v>92662.5</v>
      </c>
      <c r="D8">
        <v>8300</v>
      </c>
      <c r="E8">
        <v>12320</v>
      </c>
      <c r="F8" s="110">
        <f t="shared" ref="F8:F17" si="1">D8*0.454*2.471</f>
        <v>9311.2222000000002</v>
      </c>
      <c r="G8" s="110">
        <f t="shared" ref="G8:G17" si="2">E8*0.454*2.471</f>
        <v>13820.99488</v>
      </c>
      <c r="H8">
        <v>1400</v>
      </c>
      <c r="I8">
        <v>2280</v>
      </c>
      <c r="J8">
        <v>1300</v>
      </c>
      <c r="K8">
        <v>4980</v>
      </c>
      <c r="L8" s="110">
        <f t="shared" ref="L8:L17" si="3">H8*0.454*2.471</f>
        <v>1570.5676000000001</v>
      </c>
      <c r="M8" s="110">
        <f t="shared" ref="M8:M17" si="4">I8*0.454*2.471</f>
        <v>2557.7815200000005</v>
      </c>
      <c r="N8" s="110">
        <f t="shared" ref="N8:N17" si="5">J8*0.454*2.471</f>
        <v>1458.3842000000002</v>
      </c>
      <c r="O8" s="110">
        <f t="shared" ref="O8:O17" si="6">K8*0.454*2.471</f>
        <v>5586.7333200000003</v>
      </c>
    </row>
    <row r="9" spans="1:15">
      <c r="A9">
        <v>4</v>
      </c>
      <c r="B9">
        <v>22700</v>
      </c>
      <c r="C9" s="110">
        <f t="shared" si="0"/>
        <v>56091.700000000004</v>
      </c>
      <c r="D9">
        <v>9450</v>
      </c>
      <c r="E9">
        <v>15390</v>
      </c>
      <c r="F9" s="110">
        <f t="shared" si="1"/>
        <v>10601.331300000002</v>
      </c>
      <c r="G9" s="110">
        <f t="shared" si="2"/>
        <v>17265.025260000002</v>
      </c>
      <c r="H9">
        <v>2080</v>
      </c>
      <c r="I9">
        <v>2670</v>
      </c>
      <c r="J9">
        <v>1580</v>
      </c>
      <c r="K9">
        <v>6330</v>
      </c>
      <c r="L9" s="110">
        <f t="shared" si="3"/>
        <v>2333.4147200000002</v>
      </c>
      <c r="M9" s="110">
        <f t="shared" si="4"/>
        <v>2995.2967800000001</v>
      </c>
      <c r="N9" s="110">
        <f t="shared" si="5"/>
        <v>1772.4977200000001</v>
      </c>
      <c r="O9" s="110">
        <f t="shared" si="6"/>
        <v>7101.2092200000006</v>
      </c>
    </row>
    <row r="10" spans="1:15">
      <c r="A10">
        <v>6</v>
      </c>
      <c r="B10">
        <v>15900</v>
      </c>
      <c r="C10" s="110">
        <f t="shared" si="0"/>
        <v>39288.9</v>
      </c>
      <c r="D10">
        <v>15000</v>
      </c>
      <c r="E10">
        <v>24380</v>
      </c>
      <c r="F10" s="110">
        <f t="shared" si="1"/>
        <v>16827.510000000002</v>
      </c>
      <c r="G10" s="110">
        <f t="shared" si="2"/>
        <v>27350.31292</v>
      </c>
      <c r="H10">
        <v>3100</v>
      </c>
      <c r="I10">
        <v>4900</v>
      </c>
      <c r="J10">
        <v>2200</v>
      </c>
      <c r="K10">
        <v>10200</v>
      </c>
      <c r="L10" s="110">
        <f t="shared" si="3"/>
        <v>3477.6854000000003</v>
      </c>
      <c r="M10" s="110">
        <f t="shared" si="4"/>
        <v>5496.9866000000002</v>
      </c>
      <c r="N10" s="110">
        <f t="shared" si="5"/>
        <v>2468.0348000000004</v>
      </c>
      <c r="O10" s="110">
        <f t="shared" si="6"/>
        <v>11442.706800000002</v>
      </c>
    </row>
    <row r="11" spans="1:15">
      <c r="A11">
        <v>6</v>
      </c>
      <c r="B11">
        <v>26300</v>
      </c>
      <c r="C11" s="110">
        <f t="shared" si="0"/>
        <v>64987.3</v>
      </c>
      <c r="D11">
        <v>16100</v>
      </c>
      <c r="E11">
        <v>22270</v>
      </c>
      <c r="F11" s="110">
        <f t="shared" si="1"/>
        <v>18061.527400000003</v>
      </c>
      <c r="G11" s="110">
        <f t="shared" si="2"/>
        <v>24983.243180000001</v>
      </c>
      <c r="H11">
        <v>2290</v>
      </c>
      <c r="I11">
        <v>4910</v>
      </c>
      <c r="J11">
        <v>2390</v>
      </c>
      <c r="K11">
        <v>9590</v>
      </c>
      <c r="L11" s="110">
        <f t="shared" si="3"/>
        <v>2568.9998600000004</v>
      </c>
      <c r="M11" s="110">
        <f t="shared" si="4"/>
        <v>5508.2049399999996</v>
      </c>
      <c r="N11" s="110">
        <f t="shared" si="5"/>
        <v>2681.1832599999998</v>
      </c>
      <c r="O11" s="110">
        <f t="shared" si="6"/>
        <v>10758.388060000001</v>
      </c>
    </row>
    <row r="12" spans="1:15">
      <c r="A12">
        <v>6</v>
      </c>
      <c r="B12">
        <v>11100</v>
      </c>
      <c r="C12" s="110">
        <f t="shared" si="0"/>
        <v>27428.100000000002</v>
      </c>
      <c r="D12">
        <v>11000</v>
      </c>
      <c r="E12">
        <v>17730</v>
      </c>
      <c r="F12" s="110">
        <f t="shared" si="1"/>
        <v>12340.174000000001</v>
      </c>
      <c r="G12" s="110">
        <f t="shared" si="2"/>
        <v>19890.116819999999</v>
      </c>
      <c r="H12">
        <v>2450</v>
      </c>
      <c r="I12">
        <v>3560</v>
      </c>
      <c r="J12">
        <v>1610</v>
      </c>
      <c r="K12">
        <v>7620</v>
      </c>
      <c r="L12" s="110">
        <f t="shared" si="3"/>
        <v>2748.4933000000001</v>
      </c>
      <c r="M12" s="110">
        <f t="shared" si="4"/>
        <v>3993.7290400000002</v>
      </c>
      <c r="N12" s="110">
        <f t="shared" si="5"/>
        <v>1806.1527400000002</v>
      </c>
      <c r="O12" s="110">
        <f t="shared" si="6"/>
        <v>8548.3750799999998</v>
      </c>
    </row>
    <row r="13" spans="1:15">
      <c r="A13">
        <v>8</v>
      </c>
      <c r="B13">
        <v>16300</v>
      </c>
      <c r="C13" s="110">
        <f t="shared" si="0"/>
        <v>40277.300000000003</v>
      </c>
      <c r="D13">
        <v>31000</v>
      </c>
      <c r="E13">
        <v>45200</v>
      </c>
      <c r="F13" s="110">
        <f t="shared" si="1"/>
        <v>34776.853999999999</v>
      </c>
      <c r="G13" s="110">
        <f t="shared" si="2"/>
        <v>50706.896800000002</v>
      </c>
      <c r="H13">
        <v>5550</v>
      </c>
      <c r="I13">
        <v>10850</v>
      </c>
      <c r="J13">
        <v>3370</v>
      </c>
      <c r="K13">
        <v>19770</v>
      </c>
      <c r="L13" s="110">
        <f t="shared" si="3"/>
        <v>6226.1787000000013</v>
      </c>
      <c r="M13" s="110">
        <f t="shared" si="4"/>
        <v>12171.898900000002</v>
      </c>
      <c r="N13" s="110">
        <f t="shared" si="5"/>
        <v>3780.5805800000003</v>
      </c>
      <c r="O13" s="110">
        <f t="shared" si="6"/>
        <v>22178.658180000002</v>
      </c>
    </row>
    <row r="14" spans="1:15">
      <c r="A14">
        <v>8</v>
      </c>
      <c r="B14">
        <v>10700</v>
      </c>
      <c r="C14" s="110">
        <f t="shared" si="0"/>
        <v>26439.7</v>
      </c>
      <c r="D14">
        <v>27200</v>
      </c>
      <c r="E14">
        <v>37000</v>
      </c>
      <c r="F14" s="110">
        <f t="shared" si="1"/>
        <v>30513.884800000003</v>
      </c>
      <c r="G14" s="110">
        <f t="shared" si="2"/>
        <v>41507.858</v>
      </c>
      <c r="H14">
        <v>3350</v>
      </c>
      <c r="I14">
        <v>9150</v>
      </c>
      <c r="J14">
        <v>3530</v>
      </c>
      <c r="K14">
        <v>16030</v>
      </c>
      <c r="L14" s="110">
        <f t="shared" si="3"/>
        <v>3758.1439000000005</v>
      </c>
      <c r="M14" s="110">
        <f t="shared" si="4"/>
        <v>10264.781100000002</v>
      </c>
      <c r="N14" s="110">
        <f t="shared" si="5"/>
        <v>3960.0740200000005</v>
      </c>
      <c r="O14" s="110">
        <f t="shared" si="6"/>
        <v>17982.999019999999</v>
      </c>
    </row>
    <row r="15" spans="1:15">
      <c r="A15">
        <v>10</v>
      </c>
      <c r="B15">
        <v>6700</v>
      </c>
      <c r="C15" s="110">
        <f t="shared" si="0"/>
        <v>16555.7</v>
      </c>
      <c r="D15">
        <v>44200</v>
      </c>
      <c r="E15">
        <v>63500</v>
      </c>
      <c r="F15" s="110">
        <f t="shared" si="1"/>
        <v>49585.0628</v>
      </c>
      <c r="G15" s="110">
        <f t="shared" si="2"/>
        <v>71236.459000000003</v>
      </c>
      <c r="H15">
        <v>6800</v>
      </c>
      <c r="I15">
        <v>15760</v>
      </c>
      <c r="J15">
        <v>4360</v>
      </c>
      <c r="K15">
        <v>26290</v>
      </c>
      <c r="L15" s="110">
        <f t="shared" si="3"/>
        <v>7628.4712000000009</v>
      </c>
      <c r="M15" s="110">
        <f t="shared" si="4"/>
        <v>17680.10384</v>
      </c>
      <c r="N15" s="110">
        <f t="shared" si="5"/>
        <v>4891.1962400000002</v>
      </c>
      <c r="O15" s="110">
        <f t="shared" si="6"/>
        <v>29493.01586</v>
      </c>
    </row>
    <row r="16" spans="1:15">
      <c r="A16">
        <v>11</v>
      </c>
      <c r="B16">
        <v>10600</v>
      </c>
      <c r="C16" s="110">
        <f t="shared" si="0"/>
        <v>26192.600000000002</v>
      </c>
      <c r="D16">
        <v>50700</v>
      </c>
      <c r="E16">
        <v>72700</v>
      </c>
      <c r="F16" s="110">
        <f t="shared" si="1"/>
        <v>56876.983800000002</v>
      </c>
      <c r="G16" s="110">
        <f t="shared" si="2"/>
        <v>81557.331800000014</v>
      </c>
      <c r="H16">
        <v>11200</v>
      </c>
      <c r="I16">
        <v>18430</v>
      </c>
      <c r="J16">
        <v>5250</v>
      </c>
      <c r="K16">
        <v>34880</v>
      </c>
      <c r="L16" s="110">
        <f t="shared" si="3"/>
        <v>12564.540800000001</v>
      </c>
      <c r="M16" s="110">
        <f t="shared" si="4"/>
        <v>20675.400620000004</v>
      </c>
      <c r="N16" s="110">
        <f t="shared" si="5"/>
        <v>5889.6284999999998</v>
      </c>
      <c r="O16" s="110">
        <f t="shared" si="6"/>
        <v>39129.569920000002</v>
      </c>
    </row>
    <row r="17" spans="1:15">
      <c r="A17">
        <v>12</v>
      </c>
      <c r="B17">
        <v>5700</v>
      </c>
      <c r="C17" s="110">
        <f t="shared" si="0"/>
        <v>14084.7</v>
      </c>
      <c r="D17">
        <v>62300</v>
      </c>
      <c r="E17">
        <v>82300</v>
      </c>
      <c r="F17" s="110">
        <f t="shared" si="1"/>
        <v>69890.258200000011</v>
      </c>
      <c r="G17" s="110">
        <f t="shared" si="2"/>
        <v>92326.938200000019</v>
      </c>
      <c r="H17">
        <v>8450</v>
      </c>
      <c r="I17">
        <v>23410</v>
      </c>
      <c r="J17">
        <v>6530</v>
      </c>
      <c r="K17">
        <v>38390</v>
      </c>
      <c r="L17" s="110">
        <f t="shared" si="3"/>
        <v>9479.4973000000009</v>
      </c>
      <c r="M17" s="110">
        <f t="shared" si="4"/>
        <v>26262.133940000003</v>
      </c>
      <c r="N17" s="110">
        <f t="shared" si="5"/>
        <v>7325.5760200000004</v>
      </c>
      <c r="O17" s="110">
        <f t="shared" si="6"/>
        <v>43067.207260000003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workbookViewId="0">
      <selection activeCell="A164" sqref="A164"/>
    </sheetView>
  </sheetViews>
  <sheetFormatPr baseColWidth="10" defaultRowHeight="12.75"/>
  <sheetData>
    <row r="1" spans="1:7">
      <c r="A1" t="s">
        <v>801</v>
      </c>
    </row>
    <row r="3" spans="1:7">
      <c r="A3" t="s">
        <v>810</v>
      </c>
    </row>
    <row r="5" spans="1:7">
      <c r="B5" t="s">
        <v>805</v>
      </c>
      <c r="E5" t="s">
        <v>809</v>
      </c>
    </row>
    <row r="6" spans="1:7" s="34" customFormat="1" ht="51">
      <c r="A6" s="34" t="s">
        <v>804</v>
      </c>
      <c r="B6" s="34" t="s">
        <v>806</v>
      </c>
      <c r="C6" s="34" t="s">
        <v>807</v>
      </c>
      <c r="D6" s="34" t="s">
        <v>808</v>
      </c>
      <c r="E6" s="34" t="s">
        <v>806</v>
      </c>
      <c r="F6" s="34" t="s">
        <v>807</v>
      </c>
      <c r="G6" s="34" t="s">
        <v>808</v>
      </c>
    </row>
    <row r="7" spans="1:7">
      <c r="A7">
        <v>1</v>
      </c>
      <c r="B7">
        <v>65.5</v>
      </c>
      <c r="C7">
        <v>36.299999999999997</v>
      </c>
      <c r="D7">
        <v>40.299999999999997</v>
      </c>
      <c r="E7">
        <v>40.4</v>
      </c>
      <c r="F7">
        <v>33.299999999999997</v>
      </c>
      <c r="G7">
        <v>26.9</v>
      </c>
    </row>
    <row r="8" spans="1:7">
      <c r="A8">
        <v>2</v>
      </c>
      <c r="B8">
        <v>65.099999999999994</v>
      </c>
      <c r="C8">
        <v>30.1</v>
      </c>
      <c r="D8">
        <v>46.5</v>
      </c>
      <c r="E8">
        <v>53.4</v>
      </c>
      <c r="F8">
        <v>31.9</v>
      </c>
      <c r="G8">
        <v>36.299999999999997</v>
      </c>
    </row>
    <row r="9" spans="1:7">
      <c r="A9">
        <v>3</v>
      </c>
      <c r="B9">
        <v>70.3</v>
      </c>
      <c r="C9">
        <v>27.7</v>
      </c>
      <c r="D9">
        <v>49.4</v>
      </c>
      <c r="E9">
        <v>52</v>
      </c>
      <c r="F9">
        <v>25</v>
      </c>
      <c r="G9">
        <v>39</v>
      </c>
    </row>
    <row r="10" spans="1:7">
      <c r="A10">
        <v>4</v>
      </c>
      <c r="B10">
        <v>57</v>
      </c>
      <c r="C10">
        <v>15.5</v>
      </c>
      <c r="D10">
        <v>47.5</v>
      </c>
      <c r="E10">
        <v>39.1</v>
      </c>
      <c r="F10">
        <v>13.9</v>
      </c>
      <c r="G10">
        <v>33.700000000000003</v>
      </c>
    </row>
    <row r="11" spans="1:7">
      <c r="A11">
        <v>5</v>
      </c>
      <c r="B11">
        <v>107.4</v>
      </c>
      <c r="C11">
        <v>10.7</v>
      </c>
      <c r="D11">
        <v>96.2</v>
      </c>
      <c r="E11">
        <v>92.7</v>
      </c>
      <c r="F11">
        <v>11.1</v>
      </c>
      <c r="G11">
        <v>82.4</v>
      </c>
    </row>
    <row r="12" spans="1:7">
      <c r="A12">
        <v>6</v>
      </c>
      <c r="B12">
        <v>129.69999999999999</v>
      </c>
      <c r="C12">
        <v>10.7</v>
      </c>
      <c r="D12">
        <v>117.5</v>
      </c>
      <c r="E12">
        <v>95.4</v>
      </c>
      <c r="F12">
        <v>12.5</v>
      </c>
      <c r="G12">
        <v>83.5</v>
      </c>
    </row>
    <row r="13" spans="1:7">
      <c r="A13">
        <v>7</v>
      </c>
      <c r="B13">
        <v>136.69999999999999</v>
      </c>
      <c r="C13">
        <v>8.6</v>
      </c>
      <c r="D13">
        <v>123.1</v>
      </c>
      <c r="E13">
        <v>91.8</v>
      </c>
      <c r="F13">
        <v>6.9</v>
      </c>
      <c r="G13">
        <v>85.5</v>
      </c>
    </row>
    <row r="14" spans="1:7">
      <c r="A14">
        <v>8</v>
      </c>
      <c r="B14">
        <v>152.30000000000001</v>
      </c>
      <c r="C14">
        <v>9.1999999999999993</v>
      </c>
      <c r="D14">
        <v>137.19999999999999</v>
      </c>
      <c r="E14">
        <v>108.1</v>
      </c>
      <c r="F14">
        <v>8.3000000000000007</v>
      </c>
      <c r="G14">
        <v>99.1</v>
      </c>
    </row>
    <row r="15" spans="1:7">
      <c r="A15" t="s">
        <v>811</v>
      </c>
      <c r="B15">
        <f t="shared" ref="B15:G15" si="0">AVERAGE(B7:B14)</f>
        <v>98</v>
      </c>
      <c r="C15">
        <f t="shared" si="0"/>
        <v>18.599999999999998</v>
      </c>
      <c r="D15">
        <f t="shared" si="0"/>
        <v>82.212500000000006</v>
      </c>
      <c r="E15">
        <f t="shared" si="0"/>
        <v>71.612499999999997</v>
      </c>
      <c r="F15">
        <f t="shared" si="0"/>
        <v>17.862500000000001</v>
      </c>
      <c r="G15">
        <f t="shared" si="0"/>
        <v>60.8</v>
      </c>
    </row>
    <row r="19" spans="1:11">
      <c r="A19" s="26" t="s">
        <v>812</v>
      </c>
    </row>
    <row r="21" spans="1:11">
      <c r="A21" t="s">
        <v>804</v>
      </c>
      <c r="B21">
        <v>1984</v>
      </c>
      <c r="C21">
        <v>1985</v>
      </c>
      <c r="D21">
        <v>1986</v>
      </c>
      <c r="E21">
        <v>1987</v>
      </c>
      <c r="F21">
        <v>1988</v>
      </c>
      <c r="G21">
        <v>1989</v>
      </c>
      <c r="H21">
        <v>1990</v>
      </c>
      <c r="I21">
        <v>1991</v>
      </c>
      <c r="J21">
        <v>1992</v>
      </c>
      <c r="K21" s="26" t="s">
        <v>862</v>
      </c>
    </row>
    <row r="22" spans="1:11">
      <c r="A22">
        <v>1</v>
      </c>
      <c r="B22">
        <v>16.7</v>
      </c>
      <c r="C22">
        <v>1.2</v>
      </c>
      <c r="D22">
        <v>3</v>
      </c>
      <c r="E22">
        <v>8.6</v>
      </c>
      <c r="F22">
        <v>13.4</v>
      </c>
      <c r="G22">
        <v>19</v>
      </c>
      <c r="H22">
        <v>24.7</v>
      </c>
      <c r="I22">
        <v>25.6</v>
      </c>
      <c r="J22">
        <v>36.299999999999997</v>
      </c>
      <c r="K22" s="111">
        <f>AVERAGE(B22:J22)</f>
        <v>16.5</v>
      </c>
    </row>
    <row r="23" spans="1:11">
      <c r="A23">
        <v>2</v>
      </c>
      <c r="B23">
        <v>7.1</v>
      </c>
      <c r="C23">
        <v>2.1</v>
      </c>
      <c r="D23">
        <v>2.1</v>
      </c>
      <c r="E23">
        <v>6.8</v>
      </c>
      <c r="F23">
        <v>11</v>
      </c>
      <c r="G23">
        <v>14.3</v>
      </c>
      <c r="H23">
        <v>20.8</v>
      </c>
      <c r="I23">
        <v>21.4</v>
      </c>
      <c r="J23">
        <v>30</v>
      </c>
      <c r="K23" s="111">
        <f t="shared" ref="K23:K29" si="1">AVERAGE(B23:J23)</f>
        <v>12.844444444444443</v>
      </c>
    </row>
    <row r="24" spans="1:11">
      <c r="A24">
        <v>3</v>
      </c>
      <c r="B24">
        <v>6.5</v>
      </c>
      <c r="C24">
        <v>1.5</v>
      </c>
      <c r="D24">
        <v>2.4</v>
      </c>
      <c r="E24">
        <v>7.7</v>
      </c>
      <c r="F24">
        <v>9.5</v>
      </c>
      <c r="G24">
        <v>13.7</v>
      </c>
      <c r="H24">
        <v>18.100000000000001</v>
      </c>
      <c r="I24">
        <v>19.3</v>
      </c>
      <c r="J24">
        <v>27.7</v>
      </c>
      <c r="K24" s="111">
        <f t="shared" si="1"/>
        <v>11.822222222222223</v>
      </c>
    </row>
    <row r="25" spans="1:11">
      <c r="A25">
        <v>4</v>
      </c>
      <c r="B25">
        <v>22.3</v>
      </c>
      <c r="C25">
        <v>4.8</v>
      </c>
      <c r="D25">
        <v>4.8</v>
      </c>
      <c r="E25">
        <v>6.3</v>
      </c>
      <c r="F25">
        <v>6.5</v>
      </c>
      <c r="G25">
        <v>11.3</v>
      </c>
      <c r="H25">
        <v>11.9</v>
      </c>
      <c r="I25">
        <v>12.8</v>
      </c>
      <c r="J25">
        <v>15.5</v>
      </c>
      <c r="K25" s="111">
        <f t="shared" si="1"/>
        <v>10.68888888888889</v>
      </c>
    </row>
    <row r="26" spans="1:11">
      <c r="A26">
        <v>5</v>
      </c>
      <c r="B26">
        <v>14.9</v>
      </c>
      <c r="C26">
        <v>1.2</v>
      </c>
      <c r="D26">
        <v>1.8</v>
      </c>
      <c r="E26">
        <v>3.3</v>
      </c>
      <c r="F26">
        <v>3.4</v>
      </c>
      <c r="G26">
        <v>5.0999999999999996</v>
      </c>
      <c r="H26">
        <v>5.4</v>
      </c>
      <c r="I26">
        <v>6.8</v>
      </c>
      <c r="J26">
        <v>10.7</v>
      </c>
      <c r="K26" s="111">
        <f t="shared" si="1"/>
        <v>5.8444444444444441</v>
      </c>
    </row>
    <row r="27" spans="1:11">
      <c r="A27">
        <v>6</v>
      </c>
      <c r="B27">
        <v>9.1999999999999993</v>
      </c>
      <c r="C27">
        <v>2.1</v>
      </c>
      <c r="D27">
        <v>4.2</v>
      </c>
      <c r="E27">
        <v>4.8</v>
      </c>
      <c r="F27">
        <v>6</v>
      </c>
      <c r="G27">
        <v>8</v>
      </c>
      <c r="H27">
        <v>8.6</v>
      </c>
      <c r="I27">
        <v>9.1999999999999993</v>
      </c>
      <c r="J27">
        <v>10.7</v>
      </c>
      <c r="K27" s="111">
        <f t="shared" si="1"/>
        <v>6.9777777777777779</v>
      </c>
    </row>
    <row r="28" spans="1:11">
      <c r="A28">
        <v>7</v>
      </c>
      <c r="B28">
        <v>12.2</v>
      </c>
      <c r="C28">
        <v>0.9</v>
      </c>
      <c r="D28">
        <v>0.9</v>
      </c>
      <c r="E28">
        <v>2.1</v>
      </c>
      <c r="F28">
        <v>2.4</v>
      </c>
      <c r="G28">
        <v>4.8</v>
      </c>
      <c r="H28">
        <v>4.8</v>
      </c>
      <c r="I28">
        <v>5.7</v>
      </c>
      <c r="J28">
        <v>8.6</v>
      </c>
      <c r="K28" s="111">
        <f t="shared" si="1"/>
        <v>4.7111111111111121</v>
      </c>
    </row>
    <row r="29" spans="1:11">
      <c r="A29">
        <v>8</v>
      </c>
      <c r="B29">
        <v>3.3</v>
      </c>
      <c r="C29">
        <v>0.3</v>
      </c>
      <c r="D29">
        <v>0.3</v>
      </c>
      <c r="E29">
        <v>0.3</v>
      </c>
      <c r="F29">
        <v>2.4</v>
      </c>
      <c r="G29">
        <v>3.6</v>
      </c>
      <c r="H29">
        <v>5.0999999999999996</v>
      </c>
      <c r="I29">
        <v>5.4</v>
      </c>
      <c r="J29">
        <v>9.1999999999999993</v>
      </c>
      <c r="K29" s="111">
        <f t="shared" si="1"/>
        <v>3.322222222222222</v>
      </c>
    </row>
    <row r="30" spans="1:11" s="26" customFormat="1">
      <c r="A30" s="26" t="s">
        <v>813</v>
      </c>
      <c r="B30" s="111">
        <f>AVERAGE(B22:B29)</f>
        <v>11.525</v>
      </c>
      <c r="C30" s="111">
        <f t="shared" ref="C30:J30" si="2">AVERAGE(C22:C29)</f>
        <v>1.7625</v>
      </c>
      <c r="D30" s="111">
        <f t="shared" si="2"/>
        <v>2.4375</v>
      </c>
      <c r="E30" s="111">
        <f t="shared" si="2"/>
        <v>4.9874999999999989</v>
      </c>
      <c r="F30" s="111">
        <f t="shared" si="2"/>
        <v>6.8249999999999993</v>
      </c>
      <c r="G30" s="111">
        <f t="shared" si="2"/>
        <v>9.9749999999999996</v>
      </c>
      <c r="H30" s="111">
        <f t="shared" si="2"/>
        <v>12.424999999999999</v>
      </c>
      <c r="I30" s="111">
        <f t="shared" si="2"/>
        <v>13.275</v>
      </c>
      <c r="J30" s="111">
        <f t="shared" si="2"/>
        <v>18.587499999999999</v>
      </c>
      <c r="K30" s="111">
        <f>AVERAGE(B30:J30)</f>
        <v>9.0888888888888868</v>
      </c>
    </row>
    <row r="34" spans="1:6">
      <c r="A34" s="26" t="s">
        <v>814</v>
      </c>
    </row>
    <row r="36" spans="1:6">
      <c r="A36" s="47" t="s">
        <v>804</v>
      </c>
      <c r="B36" s="47">
        <v>1988</v>
      </c>
      <c r="C36" s="47">
        <v>1989</v>
      </c>
      <c r="D36" s="47">
        <v>1990</v>
      </c>
      <c r="E36" s="47">
        <v>1991</v>
      </c>
      <c r="F36" s="47">
        <v>1992</v>
      </c>
    </row>
    <row r="37" spans="1:6">
      <c r="A37">
        <v>1</v>
      </c>
      <c r="B37">
        <v>160000</v>
      </c>
      <c r="C37">
        <v>120000</v>
      </c>
      <c r="D37">
        <v>100000</v>
      </c>
      <c r="E37">
        <v>80000</v>
      </c>
      <c r="F37">
        <v>40000</v>
      </c>
    </row>
    <row r="38" spans="1:6">
      <c r="A38">
        <v>4</v>
      </c>
      <c r="B38">
        <v>180000</v>
      </c>
      <c r="C38">
        <v>175000</v>
      </c>
      <c r="D38">
        <v>135000</v>
      </c>
      <c r="E38">
        <v>95000</v>
      </c>
      <c r="F38">
        <v>70000</v>
      </c>
    </row>
    <row r="39" spans="1:6">
      <c r="A39">
        <v>5</v>
      </c>
      <c r="B39">
        <v>190000</v>
      </c>
      <c r="C39">
        <v>155000</v>
      </c>
      <c r="D39">
        <v>100000</v>
      </c>
      <c r="E39">
        <v>70000</v>
      </c>
      <c r="F39">
        <v>45000</v>
      </c>
    </row>
    <row r="40" spans="1:6">
      <c r="A40">
        <v>6</v>
      </c>
      <c r="B40">
        <v>145000</v>
      </c>
      <c r="C40">
        <v>135000</v>
      </c>
      <c r="D40">
        <v>90000</v>
      </c>
      <c r="E40">
        <v>60000</v>
      </c>
      <c r="F40">
        <v>40000</v>
      </c>
    </row>
    <row r="41" spans="1:6">
      <c r="A41">
        <v>7</v>
      </c>
      <c r="B41">
        <v>140000</v>
      </c>
      <c r="C41">
        <v>120000</v>
      </c>
      <c r="D41">
        <v>90000</v>
      </c>
      <c r="E41">
        <v>50000</v>
      </c>
      <c r="F41">
        <v>35000</v>
      </c>
    </row>
    <row r="42" spans="1:6">
      <c r="A42">
        <v>8</v>
      </c>
      <c r="B42">
        <v>175000</v>
      </c>
      <c r="C42">
        <v>160000</v>
      </c>
      <c r="D42">
        <v>110000</v>
      </c>
      <c r="E42">
        <v>65000</v>
      </c>
      <c r="F42">
        <v>35000</v>
      </c>
    </row>
    <row r="43" spans="1:6">
      <c r="A43">
        <v>9</v>
      </c>
      <c r="D43">
        <v>65000</v>
      </c>
      <c r="E43">
        <v>45000</v>
      </c>
      <c r="F43">
        <v>35000</v>
      </c>
    </row>
    <row r="44" spans="1:6">
      <c r="A44">
        <v>10</v>
      </c>
      <c r="D44">
        <v>90000</v>
      </c>
      <c r="E44">
        <v>60000</v>
      </c>
      <c r="F44">
        <v>50000</v>
      </c>
    </row>
    <row r="45" spans="1:6">
      <c r="A45" s="26" t="s">
        <v>813</v>
      </c>
      <c r="B45" s="26">
        <f>SUM(B37:B44)/COUNT(B37:B44)</f>
        <v>165000</v>
      </c>
      <c r="C45" s="26">
        <f>SUM(C37:C44)/COUNT(C37:C44)</f>
        <v>144166.66666666666</v>
      </c>
      <c r="D45" s="26">
        <f>SUM(D37:D44)/COUNT(D37:D44)</f>
        <v>97500</v>
      </c>
      <c r="E45" s="26">
        <f>SUM(E37:E44)/COUNT(E37:E44)</f>
        <v>65625</v>
      </c>
      <c r="F45" s="26">
        <f>SUM(F37:F44)/COUNT(F37:F44)</f>
        <v>43750</v>
      </c>
    </row>
    <row r="49" spans="1:7">
      <c r="A49" t="s">
        <v>50</v>
      </c>
    </row>
    <row r="51" spans="1:7">
      <c r="A51" s="47" t="s">
        <v>55</v>
      </c>
      <c r="B51" s="47" t="s">
        <v>857</v>
      </c>
      <c r="C51" s="47" t="s">
        <v>51</v>
      </c>
      <c r="D51" s="47" t="s">
        <v>52</v>
      </c>
      <c r="E51" s="47" t="s">
        <v>53</v>
      </c>
      <c r="F51" s="47" t="s">
        <v>239</v>
      </c>
      <c r="G51" s="47" t="s">
        <v>54</v>
      </c>
    </row>
    <row r="52" spans="1:7">
      <c r="A52">
        <v>1</v>
      </c>
      <c r="B52">
        <v>1988</v>
      </c>
      <c r="C52">
        <v>20.5</v>
      </c>
      <c r="D52">
        <v>15.4</v>
      </c>
      <c r="E52">
        <v>75</v>
      </c>
      <c r="F52">
        <v>5.0999999999999996</v>
      </c>
      <c r="G52">
        <v>25</v>
      </c>
    </row>
    <row r="53" spans="1:7">
      <c r="B53">
        <v>1989</v>
      </c>
      <c r="C53">
        <v>14.4</v>
      </c>
      <c r="D53">
        <v>10.7</v>
      </c>
      <c r="E53">
        <v>74</v>
      </c>
      <c r="F53">
        <v>3.8</v>
      </c>
      <c r="G53">
        <v>26</v>
      </c>
    </row>
    <row r="54" spans="1:7">
      <c r="B54">
        <v>1990</v>
      </c>
      <c r="C54">
        <v>11.8</v>
      </c>
      <c r="D54">
        <v>8.5</v>
      </c>
      <c r="E54">
        <v>71.8</v>
      </c>
      <c r="F54">
        <v>3.3</v>
      </c>
      <c r="G54">
        <v>28.2</v>
      </c>
    </row>
    <row r="55" spans="1:7">
      <c r="B55">
        <v>1991</v>
      </c>
      <c r="C55">
        <v>9.8000000000000007</v>
      </c>
      <c r="D55">
        <v>7.1</v>
      </c>
      <c r="E55">
        <v>72.599999999999994</v>
      </c>
      <c r="F55">
        <v>2.7</v>
      </c>
      <c r="G55">
        <v>27.4</v>
      </c>
    </row>
    <row r="56" spans="1:7">
      <c r="A56" s="47"/>
      <c r="B56" s="47">
        <v>1992</v>
      </c>
      <c r="C56" s="47">
        <v>5.0999999999999996</v>
      </c>
      <c r="D56" s="47">
        <v>3.1</v>
      </c>
      <c r="E56" s="47">
        <v>60.6</v>
      </c>
      <c r="F56" s="47">
        <v>2</v>
      </c>
      <c r="G56" s="47">
        <v>39.4</v>
      </c>
    </row>
    <row r="57" spans="1:7">
      <c r="A57">
        <v>4</v>
      </c>
      <c r="B57">
        <v>1988</v>
      </c>
      <c r="C57">
        <v>23.9</v>
      </c>
      <c r="D57">
        <v>18.5</v>
      </c>
      <c r="E57">
        <v>77.5</v>
      </c>
      <c r="F57">
        <v>5.4</v>
      </c>
      <c r="G57">
        <v>22.5</v>
      </c>
    </row>
    <row r="58" spans="1:7">
      <c r="B58">
        <v>1989</v>
      </c>
      <c r="C58">
        <v>20.7</v>
      </c>
      <c r="D58">
        <v>14.9</v>
      </c>
      <c r="E58">
        <v>71.900000000000006</v>
      </c>
      <c r="F58">
        <v>5.8</v>
      </c>
      <c r="G58">
        <v>28.1</v>
      </c>
    </row>
    <row r="59" spans="1:7">
      <c r="B59">
        <v>1990</v>
      </c>
      <c r="C59">
        <v>16.399999999999999</v>
      </c>
      <c r="D59">
        <v>10.9</v>
      </c>
      <c r="E59">
        <v>66.7</v>
      </c>
      <c r="F59">
        <v>5.5</v>
      </c>
      <c r="G59">
        <v>33.299999999999997</v>
      </c>
    </row>
    <row r="60" spans="1:7">
      <c r="B60">
        <v>1991</v>
      </c>
      <c r="C60">
        <v>11.2</v>
      </c>
      <c r="D60">
        <v>7.7</v>
      </c>
      <c r="E60">
        <v>68.7</v>
      </c>
      <c r="F60">
        <v>3.5</v>
      </c>
      <c r="G60">
        <v>31.3</v>
      </c>
    </row>
    <row r="61" spans="1:7">
      <c r="A61" s="47"/>
      <c r="B61" s="47">
        <v>1992</v>
      </c>
      <c r="C61" s="47">
        <v>8.5</v>
      </c>
      <c r="D61" s="47">
        <v>5.3</v>
      </c>
      <c r="E61" s="47">
        <v>62</v>
      </c>
      <c r="F61" s="47">
        <v>3.2</v>
      </c>
      <c r="G61" s="47">
        <v>38</v>
      </c>
    </row>
    <row r="62" spans="1:7">
      <c r="A62">
        <v>5</v>
      </c>
      <c r="B62">
        <v>1988</v>
      </c>
      <c r="C62">
        <v>26.1</v>
      </c>
      <c r="D62">
        <v>19.100000000000001</v>
      </c>
      <c r="E62">
        <v>73.2</v>
      </c>
      <c r="F62">
        <v>7</v>
      </c>
      <c r="G62">
        <v>26.8</v>
      </c>
    </row>
    <row r="63" spans="1:7">
      <c r="B63">
        <v>1989</v>
      </c>
      <c r="C63">
        <v>18.8</v>
      </c>
      <c r="D63">
        <v>14.5</v>
      </c>
      <c r="E63">
        <v>77.3</v>
      </c>
      <c r="F63">
        <v>4.3</v>
      </c>
      <c r="G63">
        <v>22.7</v>
      </c>
    </row>
    <row r="64" spans="1:7">
      <c r="B64">
        <v>1990</v>
      </c>
      <c r="C64">
        <v>11.8</v>
      </c>
      <c r="D64">
        <v>8.9</v>
      </c>
      <c r="E64">
        <v>75.400000000000006</v>
      </c>
      <c r="F64">
        <v>2.9</v>
      </c>
      <c r="G64">
        <v>24.6</v>
      </c>
    </row>
    <row r="65" spans="1:7">
      <c r="B65">
        <v>1991</v>
      </c>
      <c r="C65">
        <v>8.3000000000000007</v>
      </c>
      <c r="D65">
        <v>5.5</v>
      </c>
      <c r="E65">
        <v>66.5</v>
      </c>
      <c r="F65">
        <v>2.8</v>
      </c>
      <c r="G65">
        <v>33.5</v>
      </c>
    </row>
    <row r="66" spans="1:7">
      <c r="A66" s="47"/>
      <c r="B66" s="47">
        <v>1992</v>
      </c>
      <c r="C66" s="47">
        <v>5.3</v>
      </c>
      <c r="D66" s="47">
        <v>2.8</v>
      </c>
      <c r="E66" s="47">
        <v>54</v>
      </c>
      <c r="F66" s="47">
        <v>2.4</v>
      </c>
      <c r="G66" s="47">
        <v>46</v>
      </c>
    </row>
    <row r="67" spans="1:7">
      <c r="A67">
        <v>6</v>
      </c>
      <c r="B67">
        <v>1988</v>
      </c>
      <c r="C67" s="50">
        <v>18.600000000000001</v>
      </c>
      <c r="D67" s="50">
        <v>13.4</v>
      </c>
      <c r="E67" s="50">
        <v>71.8</v>
      </c>
      <c r="F67" s="50">
        <v>5.3</v>
      </c>
      <c r="G67" s="50">
        <v>28.2</v>
      </c>
    </row>
    <row r="68" spans="1:7">
      <c r="B68">
        <v>1989</v>
      </c>
      <c r="C68" s="50">
        <v>15.8</v>
      </c>
      <c r="D68">
        <v>11</v>
      </c>
      <c r="E68" s="50">
        <v>69.5</v>
      </c>
      <c r="F68" s="50">
        <v>4.8</v>
      </c>
      <c r="G68" s="50">
        <v>30.5</v>
      </c>
    </row>
    <row r="69" spans="1:7">
      <c r="B69">
        <v>1990</v>
      </c>
      <c r="C69" s="50">
        <v>11</v>
      </c>
      <c r="D69">
        <v>7.9</v>
      </c>
      <c r="E69" s="50">
        <v>71.3</v>
      </c>
      <c r="F69" s="50">
        <v>3.2</v>
      </c>
      <c r="G69" s="50">
        <v>28.7</v>
      </c>
    </row>
    <row r="70" spans="1:7">
      <c r="B70">
        <v>1991</v>
      </c>
      <c r="C70" s="50">
        <v>7.3</v>
      </c>
      <c r="D70">
        <v>4.7</v>
      </c>
      <c r="E70" s="50">
        <v>63.6</v>
      </c>
      <c r="F70" s="50">
        <v>2.7</v>
      </c>
      <c r="G70" s="50">
        <v>36.4</v>
      </c>
    </row>
    <row r="71" spans="1:7">
      <c r="A71" s="47"/>
      <c r="B71" s="47">
        <v>1992</v>
      </c>
      <c r="C71" s="47">
        <v>5.4</v>
      </c>
      <c r="D71" s="47">
        <v>2.6</v>
      </c>
      <c r="E71" s="47">
        <v>48.1</v>
      </c>
      <c r="F71" s="47">
        <v>2.8</v>
      </c>
      <c r="G71" s="47">
        <v>51.9</v>
      </c>
    </row>
    <row r="72" spans="1:7">
      <c r="A72">
        <v>7</v>
      </c>
      <c r="B72">
        <v>1988</v>
      </c>
      <c r="C72" s="50">
        <v>18.8</v>
      </c>
      <c r="D72" s="50">
        <v>12.6</v>
      </c>
      <c r="E72" s="50">
        <v>67.3</v>
      </c>
      <c r="F72" s="50">
        <v>6.1</v>
      </c>
      <c r="G72" s="50">
        <v>32.700000000000003</v>
      </c>
    </row>
    <row r="73" spans="1:7">
      <c r="B73">
        <v>1989</v>
      </c>
      <c r="C73" s="50">
        <v>14.2</v>
      </c>
      <c r="D73">
        <v>9.4</v>
      </c>
      <c r="E73" s="50">
        <v>65.900000000000006</v>
      </c>
      <c r="F73" s="50">
        <v>4.8</v>
      </c>
      <c r="G73" s="50">
        <v>34.1</v>
      </c>
    </row>
    <row r="74" spans="1:7">
      <c r="B74">
        <v>1990</v>
      </c>
      <c r="C74" s="50">
        <v>10.199999999999999</v>
      </c>
      <c r="D74">
        <v>6.8</v>
      </c>
      <c r="E74" s="50">
        <v>66.7</v>
      </c>
      <c r="F74" s="50">
        <v>3.4</v>
      </c>
      <c r="G74" s="50">
        <v>33.299999999999997</v>
      </c>
    </row>
    <row r="75" spans="1:7">
      <c r="B75">
        <v>1991</v>
      </c>
      <c r="C75" s="50">
        <v>5.8</v>
      </c>
      <c r="D75">
        <v>3.6</v>
      </c>
      <c r="E75" s="50">
        <v>61.4</v>
      </c>
      <c r="F75" s="50">
        <v>2.2000000000000002</v>
      </c>
      <c r="G75" s="50">
        <v>38.6</v>
      </c>
    </row>
    <row r="76" spans="1:7">
      <c r="A76" s="47"/>
      <c r="B76" s="47">
        <v>1992</v>
      </c>
      <c r="C76" s="47">
        <v>4.2</v>
      </c>
      <c r="D76" s="47">
        <v>2.2999999999999998</v>
      </c>
      <c r="E76" s="47">
        <v>55.8</v>
      </c>
      <c r="F76" s="47">
        <v>1.8</v>
      </c>
      <c r="G76" s="47">
        <v>44.2</v>
      </c>
    </row>
    <row r="77" spans="1:7">
      <c r="A77">
        <v>8</v>
      </c>
      <c r="B77">
        <v>1988</v>
      </c>
      <c r="C77" s="50">
        <v>23.1</v>
      </c>
      <c r="D77" s="50">
        <v>19.8</v>
      </c>
      <c r="E77" s="50">
        <v>85.4</v>
      </c>
      <c r="F77" s="50">
        <v>3.4</v>
      </c>
      <c r="G77" s="50">
        <v>14.6</v>
      </c>
    </row>
    <row r="78" spans="1:7">
      <c r="B78">
        <v>1989</v>
      </c>
      <c r="C78" s="50">
        <v>19.2</v>
      </c>
      <c r="D78">
        <v>15.2</v>
      </c>
      <c r="E78" s="50">
        <v>79.099999999999994</v>
      </c>
      <c r="F78">
        <v>4</v>
      </c>
      <c r="G78" s="50">
        <v>20.9</v>
      </c>
    </row>
    <row r="79" spans="1:7">
      <c r="B79">
        <v>1990</v>
      </c>
      <c r="C79" s="50">
        <v>13</v>
      </c>
      <c r="D79">
        <v>10</v>
      </c>
      <c r="E79" s="50">
        <v>77.2</v>
      </c>
      <c r="F79">
        <v>3</v>
      </c>
      <c r="G79" s="50">
        <v>22.8</v>
      </c>
    </row>
    <row r="80" spans="1:7">
      <c r="B80">
        <v>1991</v>
      </c>
      <c r="C80" s="50">
        <v>7.8</v>
      </c>
      <c r="D80">
        <v>5.7</v>
      </c>
      <c r="E80" s="50">
        <v>72.2</v>
      </c>
      <c r="F80">
        <v>2.2000000000000002</v>
      </c>
      <c r="G80" s="50">
        <v>27.8</v>
      </c>
    </row>
    <row r="81" spans="1:7">
      <c r="A81" s="47"/>
      <c r="B81" s="47">
        <v>1992</v>
      </c>
      <c r="C81" s="47">
        <v>4.4000000000000004</v>
      </c>
      <c r="D81" s="47">
        <v>2.9</v>
      </c>
      <c r="E81" s="47">
        <v>65.8</v>
      </c>
      <c r="F81" s="47">
        <v>1.5</v>
      </c>
      <c r="G81" s="47">
        <v>34.200000000000003</v>
      </c>
    </row>
    <row r="82" spans="1:7">
      <c r="A82">
        <v>9</v>
      </c>
      <c r="B82">
        <v>1988</v>
      </c>
    </row>
    <row r="83" spans="1:7">
      <c r="B83">
        <v>1989</v>
      </c>
    </row>
    <row r="84" spans="1:7">
      <c r="B84">
        <v>1990</v>
      </c>
      <c r="C84">
        <v>7.9</v>
      </c>
      <c r="D84">
        <v>5.0999999999999996</v>
      </c>
      <c r="E84">
        <v>64.8</v>
      </c>
      <c r="F84">
        <v>2.8</v>
      </c>
      <c r="G84">
        <v>35.200000000000003</v>
      </c>
    </row>
    <row r="85" spans="1:7">
      <c r="B85">
        <v>1991</v>
      </c>
      <c r="C85">
        <v>5.2</v>
      </c>
      <c r="D85">
        <v>3.6</v>
      </c>
      <c r="E85">
        <v>68.099999999999994</v>
      </c>
      <c r="F85">
        <v>1.7</v>
      </c>
      <c r="G85">
        <v>31.9</v>
      </c>
    </row>
    <row r="86" spans="1:7">
      <c r="A86" s="47"/>
      <c r="B86" s="47">
        <v>1992</v>
      </c>
      <c r="C86" s="47">
        <v>4.2</v>
      </c>
      <c r="D86" s="47">
        <v>2.6</v>
      </c>
      <c r="E86" s="47">
        <v>60.5</v>
      </c>
      <c r="F86" s="47">
        <v>1.7</v>
      </c>
      <c r="G86" s="47">
        <v>39.5</v>
      </c>
    </row>
    <row r="87" spans="1:7">
      <c r="A87" t="s">
        <v>56</v>
      </c>
      <c r="B87">
        <v>1988</v>
      </c>
    </row>
    <row r="88" spans="1:7">
      <c r="B88">
        <v>1989</v>
      </c>
    </row>
    <row r="89" spans="1:7">
      <c r="B89">
        <v>1990</v>
      </c>
      <c r="C89">
        <v>11</v>
      </c>
      <c r="D89">
        <v>8.1999999999999993</v>
      </c>
      <c r="E89">
        <v>74.099999999999994</v>
      </c>
      <c r="F89">
        <v>2.8</v>
      </c>
      <c r="G89">
        <v>25.9</v>
      </c>
    </row>
    <row r="90" spans="1:7">
      <c r="B90">
        <v>1991</v>
      </c>
      <c r="C90">
        <v>7.4</v>
      </c>
      <c r="D90">
        <v>5</v>
      </c>
      <c r="E90">
        <v>67.7</v>
      </c>
      <c r="F90">
        <v>2.4</v>
      </c>
      <c r="G90">
        <v>32.299999999999997</v>
      </c>
    </row>
    <row r="91" spans="1:7">
      <c r="A91" s="47"/>
      <c r="B91" s="47">
        <v>1992</v>
      </c>
      <c r="C91" s="47">
        <v>6.1</v>
      </c>
      <c r="D91" s="47">
        <v>3.9</v>
      </c>
      <c r="E91" s="47">
        <v>64.599999999999994</v>
      </c>
      <c r="F91" s="47">
        <v>2.2000000000000002</v>
      </c>
      <c r="G91" s="47">
        <v>35.4</v>
      </c>
    </row>
    <row r="92" spans="1:7">
      <c r="A92" t="s">
        <v>57</v>
      </c>
      <c r="B92">
        <v>1988</v>
      </c>
      <c r="C92" s="112">
        <f t="shared" ref="C92:G94" si="3">((C52+C57+C62+C67+C72+C77+C82+C87)/(COUNT(C52,C57,C62,C67,C72,C77,C82,C87)))</f>
        <v>21.833333333333332</v>
      </c>
      <c r="D92" s="112">
        <f t="shared" si="3"/>
        <v>16.466666666666665</v>
      </c>
      <c r="E92" s="112">
        <f t="shared" si="3"/>
        <v>75.033333333333346</v>
      </c>
      <c r="F92" s="112">
        <f t="shared" si="3"/>
        <v>5.3833333333333329</v>
      </c>
      <c r="G92" s="112">
        <f t="shared" si="3"/>
        <v>24.966666666666665</v>
      </c>
    </row>
    <row r="93" spans="1:7">
      <c r="B93">
        <v>1989</v>
      </c>
      <c r="C93" s="112">
        <f t="shared" si="3"/>
        <v>17.183333333333334</v>
      </c>
      <c r="D93" s="112">
        <f t="shared" si="3"/>
        <v>12.616666666666667</v>
      </c>
      <c r="E93" s="112">
        <f t="shared" si="3"/>
        <v>72.95</v>
      </c>
      <c r="F93" s="112">
        <f t="shared" si="3"/>
        <v>4.583333333333333</v>
      </c>
      <c r="G93" s="112">
        <f t="shared" si="3"/>
        <v>27.05</v>
      </c>
    </row>
    <row r="94" spans="1:7">
      <c r="B94">
        <v>1990</v>
      </c>
      <c r="C94" s="112">
        <f t="shared" si="3"/>
        <v>11.637500000000001</v>
      </c>
      <c r="D94" s="112">
        <f t="shared" si="3"/>
        <v>8.2874999999999996</v>
      </c>
      <c r="E94" s="112">
        <f t="shared" si="3"/>
        <v>71</v>
      </c>
      <c r="F94" s="112">
        <f t="shared" si="3"/>
        <v>3.3625000000000003</v>
      </c>
      <c r="G94" s="112">
        <f t="shared" si="3"/>
        <v>29.000000000000004</v>
      </c>
    </row>
    <row r="95" spans="1:7">
      <c r="B95">
        <v>1991</v>
      </c>
      <c r="C95" s="112">
        <f t="shared" ref="C95:G96" si="4">((C55+C60+C65+C70+C75+C80+C85+C90)/(COUNT(C55,C60,C65,C70,C75,C80,C85,C90)))</f>
        <v>7.85</v>
      </c>
      <c r="D95" s="112">
        <f t="shared" si="4"/>
        <v>5.3625000000000007</v>
      </c>
      <c r="E95" s="112">
        <f t="shared" si="4"/>
        <v>67.600000000000009</v>
      </c>
      <c r="F95" s="112">
        <f t="shared" si="4"/>
        <v>2.5249999999999995</v>
      </c>
      <c r="G95" s="112">
        <f t="shared" si="4"/>
        <v>32.4</v>
      </c>
    </row>
    <row r="96" spans="1:7">
      <c r="B96" s="46">
        <v>1992</v>
      </c>
      <c r="C96" s="112">
        <f t="shared" si="4"/>
        <v>5.4</v>
      </c>
      <c r="D96" s="112">
        <f t="shared" si="4"/>
        <v>3.1874999999999996</v>
      </c>
      <c r="E96" s="112">
        <f t="shared" si="4"/>
        <v>58.924999999999997</v>
      </c>
      <c r="F96" s="112">
        <f t="shared" si="4"/>
        <v>2.1999999999999997</v>
      </c>
      <c r="G96" s="112">
        <f t="shared" si="4"/>
        <v>41.074999999999996</v>
      </c>
    </row>
    <row r="100" spans="1:9">
      <c r="A100" s="26" t="s">
        <v>58</v>
      </c>
    </row>
    <row r="102" spans="1:9" ht="13.5" thickBot="1">
      <c r="B102" s="69" t="s">
        <v>59</v>
      </c>
      <c r="C102" s="69"/>
      <c r="D102" s="113"/>
      <c r="E102" s="69" t="s">
        <v>62</v>
      </c>
      <c r="F102" s="69"/>
      <c r="G102" s="69"/>
    </row>
    <row r="103" spans="1:9" ht="13.5" thickBot="1">
      <c r="A103" s="69" t="s">
        <v>804</v>
      </c>
      <c r="B103" s="69" t="s">
        <v>60</v>
      </c>
      <c r="C103" s="69" t="s">
        <v>61</v>
      </c>
      <c r="D103" s="113" t="s">
        <v>1203</v>
      </c>
      <c r="E103" s="69" t="s">
        <v>60</v>
      </c>
      <c r="F103" s="69" t="s">
        <v>61</v>
      </c>
      <c r="G103" s="69" t="s">
        <v>1203</v>
      </c>
    </row>
    <row r="104" spans="1:9">
      <c r="A104" s="114">
        <v>3</v>
      </c>
      <c r="B104">
        <v>7</v>
      </c>
      <c r="C104">
        <v>17.600000000000001</v>
      </c>
      <c r="D104" s="44">
        <v>24.6</v>
      </c>
      <c r="E104">
        <v>1.4</v>
      </c>
      <c r="F104">
        <v>3.6</v>
      </c>
      <c r="G104">
        <f t="shared" ref="G104:G110" si="5">AVERAGE(E104:F104)</f>
        <v>2.5</v>
      </c>
    </row>
    <row r="105" spans="1:9">
      <c r="A105" s="44">
        <v>4</v>
      </c>
      <c r="B105">
        <v>16.5</v>
      </c>
      <c r="C105">
        <v>20.3</v>
      </c>
      <c r="D105" s="44">
        <v>36.799999999999997</v>
      </c>
      <c r="E105">
        <v>3.3</v>
      </c>
      <c r="F105">
        <v>4</v>
      </c>
      <c r="G105">
        <f t="shared" si="5"/>
        <v>3.65</v>
      </c>
    </row>
    <row r="106" spans="1:9">
      <c r="A106" s="44">
        <v>5</v>
      </c>
      <c r="B106">
        <v>15.5</v>
      </c>
      <c r="C106">
        <v>26.9</v>
      </c>
      <c r="D106" s="44">
        <v>42.4</v>
      </c>
      <c r="E106">
        <v>3.1</v>
      </c>
      <c r="F106">
        <v>5.4</v>
      </c>
      <c r="G106">
        <f t="shared" si="5"/>
        <v>4.25</v>
      </c>
    </row>
    <row r="107" spans="1:9">
      <c r="A107" s="44">
        <v>6</v>
      </c>
      <c r="B107">
        <v>22</v>
      </c>
      <c r="C107">
        <v>40.6</v>
      </c>
      <c r="D107" s="44">
        <v>62.6</v>
      </c>
      <c r="E107">
        <v>4.4000000000000004</v>
      </c>
      <c r="F107">
        <v>8.1999999999999993</v>
      </c>
      <c r="G107">
        <f t="shared" si="5"/>
        <v>6.3</v>
      </c>
    </row>
    <row r="108" spans="1:9">
      <c r="A108" s="44">
        <v>7</v>
      </c>
      <c r="B108">
        <v>32.5</v>
      </c>
      <c r="C108">
        <v>29.8</v>
      </c>
      <c r="D108" s="44">
        <v>62.3</v>
      </c>
      <c r="E108">
        <v>6.5</v>
      </c>
      <c r="F108">
        <v>6</v>
      </c>
      <c r="G108">
        <f t="shared" si="5"/>
        <v>6.25</v>
      </c>
    </row>
    <row r="109" spans="1:9">
      <c r="A109" s="44">
        <v>8</v>
      </c>
      <c r="B109">
        <v>23</v>
      </c>
      <c r="C109">
        <v>34</v>
      </c>
      <c r="D109" s="44">
        <v>57</v>
      </c>
      <c r="E109">
        <v>4.5999999999999996</v>
      </c>
      <c r="F109">
        <v>6.8</v>
      </c>
      <c r="G109">
        <f t="shared" si="5"/>
        <v>5.6999999999999993</v>
      </c>
    </row>
    <row r="110" spans="1:9">
      <c r="A110" s="44">
        <v>9</v>
      </c>
      <c r="B110">
        <v>18.5</v>
      </c>
      <c r="C110">
        <v>38.700000000000003</v>
      </c>
      <c r="D110" s="44">
        <v>57.2</v>
      </c>
      <c r="E110">
        <v>3.7</v>
      </c>
      <c r="F110">
        <v>7.8</v>
      </c>
      <c r="G110">
        <f t="shared" si="5"/>
        <v>5.75</v>
      </c>
    </row>
    <row r="111" spans="1:9">
      <c r="A111" s="44">
        <v>10</v>
      </c>
      <c r="B111">
        <v>13.8</v>
      </c>
      <c r="C111">
        <v>31</v>
      </c>
      <c r="D111" s="44">
        <v>44.8</v>
      </c>
      <c r="E111">
        <v>2.8</v>
      </c>
      <c r="F111">
        <v>6.2</v>
      </c>
      <c r="G111">
        <f>AVERAGE(E111:F111)</f>
        <v>4.5</v>
      </c>
    </row>
    <row r="112" spans="1:9">
      <c r="A112" s="35" t="s">
        <v>813</v>
      </c>
      <c r="B112" s="35">
        <f t="shared" ref="B112:G112" si="6">AVERAGE(B104:B111)</f>
        <v>18.600000000000001</v>
      </c>
      <c r="C112" s="35">
        <f t="shared" si="6"/>
        <v>29.862500000000004</v>
      </c>
      <c r="D112" s="115">
        <f t="shared" si="6"/>
        <v>48.462499999999999</v>
      </c>
      <c r="E112" s="35">
        <f t="shared" si="6"/>
        <v>3.7249999999999996</v>
      </c>
      <c r="F112" s="35">
        <f t="shared" si="6"/>
        <v>6</v>
      </c>
      <c r="G112" s="35">
        <f t="shared" si="6"/>
        <v>4.8624999999999998</v>
      </c>
      <c r="H112" s="46"/>
      <c r="I112" s="46"/>
    </row>
    <row r="113" spans="1:9">
      <c r="H113" s="46"/>
      <c r="I113" s="46"/>
    </row>
    <row r="114" spans="1:9">
      <c r="A114" s="26" t="s">
        <v>63</v>
      </c>
    </row>
    <row r="116" spans="1:9">
      <c r="B116" s="47" t="s">
        <v>64</v>
      </c>
      <c r="C116" s="47"/>
      <c r="D116" s="47"/>
      <c r="E116" s="48"/>
      <c r="F116" s="47" t="s">
        <v>65</v>
      </c>
      <c r="G116" s="47"/>
      <c r="H116" s="47"/>
      <c r="I116" s="47"/>
    </row>
    <row r="117" spans="1:9" ht="13.5" thickBot="1">
      <c r="A117" s="69" t="s">
        <v>804</v>
      </c>
      <c r="B117" s="69">
        <v>1989</v>
      </c>
      <c r="C117" s="69">
        <v>1990</v>
      </c>
      <c r="D117" s="69">
        <v>1991</v>
      </c>
      <c r="E117" s="113">
        <v>1992</v>
      </c>
      <c r="F117" s="69">
        <v>1989</v>
      </c>
      <c r="G117" s="69">
        <v>1990</v>
      </c>
      <c r="H117" s="69">
        <v>1991</v>
      </c>
      <c r="I117" s="69">
        <v>1992</v>
      </c>
    </row>
    <row r="118" spans="1:9">
      <c r="A118" s="114">
        <v>1</v>
      </c>
      <c r="B118">
        <v>13.5</v>
      </c>
      <c r="C118">
        <v>20.3</v>
      </c>
      <c r="D118">
        <v>31</v>
      </c>
      <c r="E118" s="44">
        <v>65.5</v>
      </c>
      <c r="F118">
        <v>4.3</v>
      </c>
      <c r="G118">
        <v>12.6</v>
      </c>
      <c r="H118">
        <v>18.2</v>
      </c>
      <c r="I118">
        <v>40.4</v>
      </c>
    </row>
    <row r="119" spans="1:9">
      <c r="A119" s="44">
        <v>2</v>
      </c>
      <c r="B119">
        <v>13.8</v>
      </c>
      <c r="C119">
        <v>20.100000000000001</v>
      </c>
      <c r="D119">
        <v>32.700000000000003</v>
      </c>
      <c r="E119" s="44">
        <v>65.099999999999994</v>
      </c>
      <c r="F119">
        <v>6.2</v>
      </c>
      <c r="G119">
        <v>11.8</v>
      </c>
      <c r="H119">
        <v>21.6</v>
      </c>
      <c r="I119">
        <v>53.4</v>
      </c>
    </row>
    <row r="120" spans="1:9">
      <c r="A120" s="44">
        <v>3</v>
      </c>
      <c r="B120">
        <v>13.5</v>
      </c>
      <c r="C120">
        <v>21.6</v>
      </c>
      <c r="D120">
        <v>34.299999999999997</v>
      </c>
      <c r="E120" s="44">
        <v>70.3</v>
      </c>
      <c r="F120">
        <v>7.6</v>
      </c>
      <c r="G120">
        <v>13.6</v>
      </c>
      <c r="H120">
        <v>25.2</v>
      </c>
      <c r="I120">
        <v>52</v>
      </c>
    </row>
    <row r="121" spans="1:9">
      <c r="A121" s="44">
        <v>4</v>
      </c>
      <c r="B121">
        <v>13.5</v>
      </c>
      <c r="C121">
        <v>21.6</v>
      </c>
      <c r="D121">
        <v>37.299999999999997</v>
      </c>
      <c r="E121" s="44">
        <v>57</v>
      </c>
      <c r="F121">
        <v>10</v>
      </c>
      <c r="G121">
        <v>14</v>
      </c>
      <c r="H121">
        <v>22.4</v>
      </c>
      <c r="I121">
        <v>39.1</v>
      </c>
    </row>
    <row r="122" spans="1:9">
      <c r="A122" s="44">
        <v>5</v>
      </c>
      <c r="B122">
        <v>33.200000000000003</v>
      </c>
      <c r="C122">
        <v>41</v>
      </c>
      <c r="D122">
        <v>64.900000000000006</v>
      </c>
      <c r="E122" s="44">
        <v>107.4</v>
      </c>
      <c r="F122">
        <v>17.600000000000001</v>
      </c>
      <c r="G122">
        <v>27.8</v>
      </c>
      <c r="H122">
        <v>48.6</v>
      </c>
      <c r="I122">
        <v>92.7</v>
      </c>
    </row>
    <row r="123" spans="1:9">
      <c r="A123" s="44">
        <v>6</v>
      </c>
      <c r="B123">
        <v>47.1</v>
      </c>
      <c r="C123">
        <v>58.8</v>
      </c>
      <c r="D123">
        <v>81.2</v>
      </c>
      <c r="E123" s="44">
        <v>129.69999999999999</v>
      </c>
      <c r="F123">
        <v>20.399999999999999</v>
      </c>
      <c r="G123">
        <v>31.9</v>
      </c>
      <c r="H123">
        <v>54.2</v>
      </c>
      <c r="I123">
        <v>95.4</v>
      </c>
    </row>
    <row r="124" spans="1:9">
      <c r="A124" s="44">
        <v>7</v>
      </c>
      <c r="B124">
        <v>48.1</v>
      </c>
      <c r="C124">
        <v>58.3</v>
      </c>
      <c r="D124">
        <v>85.5</v>
      </c>
      <c r="E124" s="44">
        <v>136.69999999999999</v>
      </c>
      <c r="F124">
        <v>26.3</v>
      </c>
      <c r="G124">
        <v>35.799999999999997</v>
      </c>
      <c r="H124">
        <v>55.4</v>
      </c>
      <c r="I124">
        <v>91.8</v>
      </c>
    </row>
    <row r="125" spans="1:9">
      <c r="A125" s="48">
        <v>8</v>
      </c>
      <c r="B125" s="47">
        <v>54.9</v>
      </c>
      <c r="C125" s="47">
        <v>67.2</v>
      </c>
      <c r="D125" s="47">
        <v>95.3</v>
      </c>
      <c r="E125" s="48">
        <v>152.30000000000001</v>
      </c>
      <c r="F125" s="47">
        <v>26.4</v>
      </c>
      <c r="G125" s="47">
        <v>40.9</v>
      </c>
      <c r="H125" s="47">
        <v>63.2</v>
      </c>
      <c r="I125" s="47">
        <v>108.1</v>
      </c>
    </row>
    <row r="126" spans="1:9">
      <c r="A126" s="35" t="s">
        <v>813</v>
      </c>
      <c r="B126" s="116">
        <f>AVERAGE(B118:B125)</f>
        <v>29.7</v>
      </c>
      <c r="C126" s="116">
        <f t="shared" ref="C126:I126" si="7">AVERAGE(C118:C125)</f>
        <v>38.612499999999997</v>
      </c>
      <c r="D126" s="116">
        <f t="shared" si="7"/>
        <v>57.775000000000006</v>
      </c>
      <c r="E126" s="117">
        <f t="shared" si="7"/>
        <v>98</v>
      </c>
      <c r="F126" s="116">
        <f t="shared" si="7"/>
        <v>14.849999999999998</v>
      </c>
      <c r="G126" s="116">
        <f t="shared" si="7"/>
        <v>23.55</v>
      </c>
      <c r="H126" s="116">
        <f t="shared" si="7"/>
        <v>38.6</v>
      </c>
      <c r="I126" s="116">
        <f t="shared" si="7"/>
        <v>71.612499999999997</v>
      </c>
    </row>
    <row r="127" spans="1:9">
      <c r="A127" s="46"/>
    </row>
    <row r="130" spans="1:9">
      <c r="A130" s="26" t="s">
        <v>66</v>
      </c>
    </row>
    <row r="132" spans="1:9">
      <c r="B132" s="47" t="s">
        <v>64</v>
      </c>
      <c r="C132" s="47"/>
      <c r="D132" s="47"/>
      <c r="E132" s="48"/>
      <c r="F132" s="47" t="s">
        <v>65</v>
      </c>
      <c r="G132" s="47"/>
      <c r="H132" s="47"/>
      <c r="I132" s="47"/>
    </row>
    <row r="133" spans="1:9" ht="13.5" thickBot="1">
      <c r="A133" s="69" t="s">
        <v>804</v>
      </c>
      <c r="B133" s="69">
        <v>1989</v>
      </c>
      <c r="C133" s="69">
        <v>1990</v>
      </c>
      <c r="D133" s="69">
        <v>1991</v>
      </c>
      <c r="E133" s="113">
        <v>1992</v>
      </c>
      <c r="F133" s="69">
        <v>1989</v>
      </c>
      <c r="G133" s="69">
        <v>1990</v>
      </c>
      <c r="H133" s="69">
        <v>1991</v>
      </c>
      <c r="I133" s="69">
        <v>1992</v>
      </c>
    </row>
    <row r="134" spans="1:9">
      <c r="A134" s="114">
        <v>1</v>
      </c>
      <c r="B134">
        <v>1.93</v>
      </c>
      <c r="C134">
        <v>2.54</v>
      </c>
      <c r="D134">
        <v>3.44</v>
      </c>
      <c r="E134" s="44">
        <v>6.55</v>
      </c>
      <c r="F134" s="50">
        <v>0.61</v>
      </c>
      <c r="G134" s="50">
        <v>1.58</v>
      </c>
      <c r="H134" s="50">
        <v>2.02</v>
      </c>
      <c r="I134" s="50">
        <v>4.04</v>
      </c>
    </row>
    <row r="135" spans="1:9">
      <c r="A135" s="44">
        <v>2</v>
      </c>
      <c r="B135">
        <v>1.97</v>
      </c>
      <c r="C135">
        <v>2.5099999999999998</v>
      </c>
      <c r="D135">
        <v>3.63</v>
      </c>
      <c r="E135" s="44">
        <v>6.51</v>
      </c>
      <c r="F135" s="50">
        <v>0.89</v>
      </c>
      <c r="G135" s="50">
        <v>1.48</v>
      </c>
      <c r="H135" s="50">
        <v>2.4</v>
      </c>
      <c r="I135" s="50">
        <v>5.34</v>
      </c>
    </row>
    <row r="136" spans="1:9">
      <c r="A136" s="44">
        <v>3</v>
      </c>
      <c r="B136">
        <v>1.93</v>
      </c>
      <c r="C136">
        <v>2.7</v>
      </c>
      <c r="D136">
        <v>3.81</v>
      </c>
      <c r="E136" s="44">
        <v>7.03</v>
      </c>
      <c r="F136" s="50">
        <v>1.0900000000000001</v>
      </c>
      <c r="G136" s="50">
        <v>1.7</v>
      </c>
      <c r="H136" s="50">
        <v>2.8</v>
      </c>
      <c r="I136" s="50">
        <v>5.2</v>
      </c>
    </row>
    <row r="137" spans="1:9">
      <c r="A137" s="44">
        <v>4</v>
      </c>
      <c r="B137">
        <v>1.93</v>
      </c>
      <c r="C137">
        <v>2.7</v>
      </c>
      <c r="D137">
        <v>4.1399999999999997</v>
      </c>
      <c r="E137" s="44">
        <v>5.7</v>
      </c>
      <c r="F137" s="50">
        <v>1.43</v>
      </c>
      <c r="G137" s="50">
        <v>1.75</v>
      </c>
      <c r="H137" s="50">
        <v>2.4900000000000002</v>
      </c>
      <c r="I137" s="50">
        <v>3.91</v>
      </c>
    </row>
    <row r="138" spans="1:9">
      <c r="A138" s="44">
        <v>5</v>
      </c>
      <c r="B138">
        <v>4.74</v>
      </c>
      <c r="C138">
        <v>5.13</v>
      </c>
      <c r="D138">
        <v>7.21</v>
      </c>
      <c r="E138" s="44">
        <v>10.74</v>
      </c>
      <c r="F138" s="50">
        <v>2.5099999999999998</v>
      </c>
      <c r="G138" s="50">
        <v>3.48</v>
      </c>
      <c r="H138" s="50">
        <v>5.4</v>
      </c>
      <c r="I138" s="50">
        <v>9.27</v>
      </c>
    </row>
    <row r="139" spans="1:9">
      <c r="A139" s="44">
        <v>6</v>
      </c>
      <c r="B139">
        <v>6.73</v>
      </c>
      <c r="C139">
        <v>7.35</v>
      </c>
      <c r="D139">
        <v>9.02</v>
      </c>
      <c r="E139" s="44">
        <v>12.97</v>
      </c>
      <c r="F139" s="50">
        <v>2.91</v>
      </c>
      <c r="G139" s="50">
        <v>3.99</v>
      </c>
      <c r="H139" s="50">
        <v>6.02</v>
      </c>
      <c r="I139" s="50">
        <v>9.5399999999999991</v>
      </c>
    </row>
    <row r="140" spans="1:9">
      <c r="A140" s="44">
        <v>7</v>
      </c>
      <c r="B140">
        <v>6.87</v>
      </c>
      <c r="C140">
        <v>7.29</v>
      </c>
      <c r="D140">
        <v>9.5</v>
      </c>
      <c r="E140" s="44">
        <v>13.67</v>
      </c>
      <c r="F140" s="50">
        <v>3.76</v>
      </c>
      <c r="G140" s="50">
        <v>4.4800000000000004</v>
      </c>
      <c r="H140" s="50">
        <v>6.16</v>
      </c>
      <c r="I140" s="50">
        <v>9.18</v>
      </c>
    </row>
    <row r="141" spans="1:9">
      <c r="A141" s="48">
        <v>8</v>
      </c>
      <c r="B141" s="47">
        <v>7.84</v>
      </c>
      <c r="C141" s="47">
        <v>8.4</v>
      </c>
      <c r="D141" s="47">
        <v>10.59</v>
      </c>
      <c r="E141" s="48">
        <v>15.23</v>
      </c>
      <c r="F141" s="47">
        <v>3.77</v>
      </c>
      <c r="G141" s="47">
        <v>5.1100000000000003</v>
      </c>
      <c r="H141" s="47">
        <v>7.02</v>
      </c>
      <c r="I141" s="47">
        <v>10.81</v>
      </c>
    </row>
    <row r="142" spans="1:9">
      <c r="A142" s="35" t="s">
        <v>813</v>
      </c>
      <c r="B142" s="116">
        <f t="shared" ref="B142:I142" si="8">AVERAGE(B134:B141)</f>
        <v>4.2424999999999997</v>
      </c>
      <c r="C142" s="116">
        <f t="shared" si="8"/>
        <v>4.8274999999999997</v>
      </c>
      <c r="D142" s="116">
        <f t="shared" si="8"/>
        <v>6.4175000000000004</v>
      </c>
      <c r="E142" s="117">
        <f t="shared" si="8"/>
        <v>9.8000000000000007</v>
      </c>
      <c r="F142" s="116">
        <f t="shared" si="8"/>
        <v>2.1212499999999999</v>
      </c>
      <c r="G142" s="116">
        <f t="shared" si="8"/>
        <v>2.94625</v>
      </c>
      <c r="H142" s="116">
        <f t="shared" si="8"/>
        <v>4.2887500000000003</v>
      </c>
      <c r="I142" s="116">
        <f t="shared" si="8"/>
        <v>7.1612499999999999</v>
      </c>
    </row>
    <row r="147" spans="1:11">
      <c r="A147" s="26" t="s">
        <v>876</v>
      </c>
    </row>
    <row r="149" spans="1:11">
      <c r="B149" s="47" t="s">
        <v>64</v>
      </c>
      <c r="C149" s="47"/>
      <c r="D149" s="47"/>
      <c r="E149" s="47"/>
      <c r="F149" s="48"/>
      <c r="G149" s="47" t="s">
        <v>65</v>
      </c>
      <c r="H149" s="47"/>
      <c r="I149" s="47"/>
      <c r="J149" s="47"/>
      <c r="K149" s="47"/>
    </row>
    <row r="150" spans="1:11" ht="13.5" thickBot="1">
      <c r="A150" s="69" t="s">
        <v>804</v>
      </c>
      <c r="B150" s="69">
        <v>1988</v>
      </c>
      <c r="C150" s="119">
        <v>1989</v>
      </c>
      <c r="D150" s="69">
        <v>1990</v>
      </c>
      <c r="E150" s="69">
        <v>1991</v>
      </c>
      <c r="F150" s="113">
        <v>1992</v>
      </c>
      <c r="G150" s="118">
        <v>1988</v>
      </c>
      <c r="H150" s="69">
        <v>1989</v>
      </c>
      <c r="I150" s="69">
        <v>1990</v>
      </c>
      <c r="J150" s="69">
        <v>1991</v>
      </c>
      <c r="K150" s="69">
        <v>1992</v>
      </c>
    </row>
    <row r="151" spans="1:11">
      <c r="A151" s="114">
        <v>1</v>
      </c>
      <c r="B151">
        <v>1.7</v>
      </c>
      <c r="C151">
        <v>8.1</v>
      </c>
      <c r="D151">
        <v>6.8</v>
      </c>
      <c r="E151">
        <v>10.7</v>
      </c>
      <c r="F151" s="44">
        <v>34.5</v>
      </c>
      <c r="G151" s="50">
        <v>0.4</v>
      </c>
      <c r="H151" s="50">
        <v>3.2</v>
      </c>
      <c r="I151" s="50">
        <v>8.3000000000000007</v>
      </c>
      <c r="J151" s="50">
        <v>4.5</v>
      </c>
      <c r="K151" s="50">
        <v>22.2</v>
      </c>
    </row>
    <row r="152" spans="1:11">
      <c r="A152" s="44">
        <v>2</v>
      </c>
      <c r="B152">
        <v>1.8</v>
      </c>
      <c r="C152">
        <v>8.4</v>
      </c>
      <c r="D152">
        <v>6.3</v>
      </c>
      <c r="E152">
        <v>12.6</v>
      </c>
      <c r="F152" s="44">
        <v>32.4</v>
      </c>
      <c r="G152" s="50">
        <v>0.6</v>
      </c>
      <c r="H152" s="50">
        <v>4.2</v>
      </c>
      <c r="I152" s="50">
        <v>5.6</v>
      </c>
      <c r="J152" s="50">
        <v>9.8000000000000007</v>
      </c>
      <c r="K152">
        <v>31.8</v>
      </c>
    </row>
    <row r="153" spans="1:11">
      <c r="A153" s="44">
        <v>3</v>
      </c>
      <c r="B153">
        <v>1.7</v>
      </c>
      <c r="C153">
        <v>8.4</v>
      </c>
      <c r="D153">
        <v>8.1</v>
      </c>
      <c r="E153">
        <v>12.7</v>
      </c>
      <c r="F153" s="44">
        <v>36</v>
      </c>
      <c r="G153" s="50">
        <v>0.9</v>
      </c>
      <c r="H153" s="50">
        <v>5.5</v>
      </c>
      <c r="I153" s="50">
        <v>6</v>
      </c>
      <c r="J153" s="50">
        <v>11.6</v>
      </c>
      <c r="K153" s="50">
        <v>26.8</v>
      </c>
    </row>
    <row r="154" spans="1:11">
      <c r="A154" s="44">
        <v>4</v>
      </c>
      <c r="B154">
        <v>2.8</v>
      </c>
      <c r="C154">
        <v>2.2999999999999998</v>
      </c>
      <c r="D154">
        <v>8.1</v>
      </c>
      <c r="E154">
        <v>15.7</v>
      </c>
      <c r="F154" s="44">
        <v>19.7</v>
      </c>
      <c r="G154" s="50">
        <v>1.8</v>
      </c>
      <c r="H154" s="50">
        <v>6.4</v>
      </c>
      <c r="I154" s="50">
        <v>4</v>
      </c>
      <c r="J154" s="50">
        <v>8.4</v>
      </c>
      <c r="K154" s="50">
        <v>16.7</v>
      </c>
    </row>
    <row r="155" spans="1:11">
      <c r="A155" s="44">
        <v>5</v>
      </c>
      <c r="B155">
        <v>5.6</v>
      </c>
      <c r="C155">
        <v>19</v>
      </c>
      <c r="D155">
        <v>7.8</v>
      </c>
      <c r="E155">
        <v>23.9</v>
      </c>
      <c r="F155" s="44">
        <v>42.5</v>
      </c>
      <c r="G155" s="50">
        <v>2.8</v>
      </c>
      <c r="H155" s="50">
        <v>12.7</v>
      </c>
      <c r="I155" s="50">
        <v>10.199999999999999</v>
      </c>
      <c r="J155" s="50">
        <v>20.8</v>
      </c>
      <c r="K155" s="50">
        <v>44.1</v>
      </c>
    </row>
    <row r="156" spans="1:11">
      <c r="A156" s="44">
        <v>6</v>
      </c>
      <c r="B156">
        <v>8.4</v>
      </c>
      <c r="C156">
        <v>25.8</v>
      </c>
      <c r="D156">
        <v>11.7</v>
      </c>
      <c r="E156">
        <v>22.4</v>
      </c>
      <c r="F156" s="44">
        <v>48.5</v>
      </c>
      <c r="G156" s="50">
        <v>4.5999999999999996</v>
      </c>
      <c r="H156" s="50">
        <v>12.6</v>
      </c>
      <c r="I156" s="50">
        <v>11.5</v>
      </c>
      <c r="J156" s="50">
        <v>22.3</v>
      </c>
      <c r="K156" s="50">
        <v>41.2</v>
      </c>
    </row>
    <row r="157" spans="1:11">
      <c r="A157" s="44">
        <v>7</v>
      </c>
      <c r="B157">
        <v>7.5</v>
      </c>
      <c r="C157">
        <v>25.3</v>
      </c>
      <c r="D157">
        <v>10.199999999999999</v>
      </c>
      <c r="E157">
        <v>27.2</v>
      </c>
      <c r="F157" s="44">
        <v>51.2</v>
      </c>
      <c r="G157" s="50">
        <v>5.9</v>
      </c>
      <c r="H157" s="50">
        <v>14.8</v>
      </c>
      <c r="I157" s="50">
        <v>9.5</v>
      </c>
      <c r="J157" s="50">
        <v>19.600000000000001</v>
      </c>
      <c r="K157" s="50">
        <v>36.4</v>
      </c>
    </row>
    <row r="158" spans="1:11">
      <c r="A158" s="48">
        <v>8</v>
      </c>
      <c r="B158" s="47">
        <v>8.1</v>
      </c>
      <c r="C158" s="47">
        <v>29.5</v>
      </c>
      <c r="D158" s="47">
        <v>12.3</v>
      </c>
      <c r="E158" s="47">
        <v>28.1</v>
      </c>
      <c r="F158" s="48">
        <v>57</v>
      </c>
      <c r="G158" s="47">
        <v>5.8</v>
      </c>
      <c r="H158" s="47">
        <v>16.100000000000001</v>
      </c>
      <c r="I158" s="47">
        <v>14.5</v>
      </c>
      <c r="J158" s="47">
        <v>22.3</v>
      </c>
      <c r="K158" s="50">
        <v>44.9</v>
      </c>
    </row>
    <row r="159" spans="1:11">
      <c r="A159" s="35" t="s">
        <v>813</v>
      </c>
      <c r="B159" s="116">
        <f t="shared" ref="B159:K159" si="9">AVERAGE(B151:B158)</f>
        <v>4.7</v>
      </c>
      <c r="C159" s="116">
        <f t="shared" si="9"/>
        <v>15.85</v>
      </c>
      <c r="D159" s="116">
        <f t="shared" si="9"/>
        <v>8.9124999999999996</v>
      </c>
      <c r="E159" s="116">
        <f t="shared" si="9"/>
        <v>19.162500000000001</v>
      </c>
      <c r="F159" s="117">
        <f t="shared" si="9"/>
        <v>40.225000000000001</v>
      </c>
      <c r="G159" s="116">
        <f t="shared" si="9"/>
        <v>2.85</v>
      </c>
      <c r="H159" s="116">
        <f t="shared" si="9"/>
        <v>9.4375</v>
      </c>
      <c r="I159" s="116">
        <f t="shared" si="9"/>
        <v>8.6999999999999993</v>
      </c>
      <c r="J159" s="116">
        <f t="shared" si="9"/>
        <v>14.9125</v>
      </c>
      <c r="K159" s="116">
        <f t="shared" si="9"/>
        <v>33.012500000000003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Q29"/>
  <sheetViews>
    <sheetView workbookViewId="0">
      <selection activeCell="N19" sqref="N19"/>
    </sheetView>
  </sheetViews>
  <sheetFormatPr baseColWidth="10" defaultRowHeight="12.75"/>
  <cols>
    <col min="1" max="1" width="23.42578125" style="6" customWidth="1"/>
    <col min="2" max="11" width="8.7109375" style="6" customWidth="1"/>
    <col min="12" max="12" width="5.42578125" style="6" bestFit="1" customWidth="1"/>
    <col min="13" max="13" width="9" style="6" bestFit="1" customWidth="1"/>
    <col min="14" max="14" width="8.28515625" style="6" bestFit="1" customWidth="1"/>
    <col min="15" max="16384" width="11.42578125" style="6"/>
  </cols>
  <sheetData>
    <row r="1" spans="1:17">
      <c r="B1" s="6" t="s">
        <v>12</v>
      </c>
      <c r="D1" s="7" t="s">
        <v>13</v>
      </c>
    </row>
    <row r="2" spans="1:17">
      <c r="C2" s="6" t="s">
        <v>14</v>
      </c>
      <c r="F2" s="6" t="s">
        <v>15</v>
      </c>
      <c r="I2" s="6" t="s">
        <v>16</v>
      </c>
      <c r="K2" s="7" t="s">
        <v>17</v>
      </c>
      <c r="L2" s="7"/>
    </row>
    <row r="3" spans="1:17" ht="38.25">
      <c r="B3" s="6" t="s">
        <v>18</v>
      </c>
      <c r="C3" s="6" t="s">
        <v>19</v>
      </c>
      <c r="D3" s="6" t="s">
        <v>20</v>
      </c>
      <c r="E3" s="6" t="s">
        <v>18</v>
      </c>
      <c r="F3" s="6" t="s">
        <v>19</v>
      </c>
      <c r="G3" s="6" t="s">
        <v>20</v>
      </c>
      <c r="H3" s="6" t="s">
        <v>18</v>
      </c>
      <c r="I3" s="6" t="s">
        <v>19</v>
      </c>
      <c r="J3" s="6" t="s">
        <v>20</v>
      </c>
      <c r="K3" s="7" t="s">
        <v>21</v>
      </c>
      <c r="L3" s="7" t="s">
        <v>22</v>
      </c>
      <c r="M3" s="7" t="s">
        <v>23</v>
      </c>
      <c r="N3" s="7" t="s">
        <v>24</v>
      </c>
      <c r="O3" s="7"/>
      <c r="P3" s="8" t="s">
        <v>25</v>
      </c>
      <c r="Q3" s="8" t="s">
        <v>26</v>
      </c>
    </row>
    <row r="4" spans="1:17">
      <c r="A4" s="6" t="s">
        <v>7</v>
      </c>
      <c r="B4" s="6">
        <v>0.3</v>
      </c>
      <c r="C4" s="6">
        <v>0.49</v>
      </c>
      <c r="D4" s="6">
        <v>0.86</v>
      </c>
      <c r="E4" s="6">
        <v>0.33</v>
      </c>
      <c r="F4" s="6">
        <v>0.52</v>
      </c>
      <c r="G4" s="6">
        <v>0.89</v>
      </c>
      <c r="H4" s="6">
        <v>0.75</v>
      </c>
      <c r="I4" s="6">
        <v>0.8</v>
      </c>
      <c r="J4" s="6">
        <v>0.85</v>
      </c>
      <c r="K4" s="6">
        <v>0.4</v>
      </c>
      <c r="L4" s="6">
        <v>4</v>
      </c>
      <c r="M4" s="6">
        <v>7.7</v>
      </c>
      <c r="N4" s="6">
        <v>12.4</v>
      </c>
      <c r="O4" s="6">
        <f>N4/100+1</f>
        <v>1.1240000000000001</v>
      </c>
      <c r="P4" s="6">
        <f>C4/O4</f>
        <v>0.43594306049822057</v>
      </c>
      <c r="Q4" s="6">
        <f>P4/1000</f>
        <v>4.3594306049822058E-4</v>
      </c>
    </row>
    <row r="5" spans="1:17">
      <c r="A5" s="6" t="s">
        <v>4</v>
      </c>
      <c r="B5" s="6">
        <v>0.3</v>
      </c>
      <c r="C5" s="6">
        <v>0.43</v>
      </c>
      <c r="D5" s="6">
        <v>0.64</v>
      </c>
      <c r="E5" s="6">
        <v>0.33</v>
      </c>
      <c r="F5" s="6">
        <v>0.47</v>
      </c>
      <c r="G5" s="6">
        <v>0.68</v>
      </c>
      <c r="H5" s="6">
        <v>0.7</v>
      </c>
      <c r="I5" s="6">
        <v>0.8</v>
      </c>
      <c r="J5" s="6">
        <v>0.85</v>
      </c>
      <c r="K5" s="6">
        <v>0.3</v>
      </c>
      <c r="L5" s="6">
        <v>3.6</v>
      </c>
      <c r="M5" s="6">
        <v>7.8</v>
      </c>
      <c r="N5" s="6">
        <v>12</v>
      </c>
      <c r="O5" s="6">
        <f t="shared" ref="O5:O26" si="0">N5/100+1</f>
        <v>1.1200000000000001</v>
      </c>
      <c r="P5" s="6">
        <f t="shared" ref="P5:P26" si="1">C5/O5</f>
        <v>0.3839285714285714</v>
      </c>
      <c r="Q5" s="6">
        <f t="shared" ref="Q5:Q26" si="2">P5/1000</f>
        <v>3.8392857142857141E-4</v>
      </c>
    </row>
    <row r="6" spans="1:17">
      <c r="A6" s="6" t="s">
        <v>3</v>
      </c>
      <c r="B6" s="6">
        <v>0.4</v>
      </c>
      <c r="C6" s="6">
        <v>0.55000000000000004</v>
      </c>
      <c r="D6" s="6">
        <v>0.82</v>
      </c>
      <c r="E6" s="6">
        <v>0.44</v>
      </c>
      <c r="F6" s="6">
        <v>0.5</v>
      </c>
      <c r="G6" s="6">
        <v>0.85</v>
      </c>
      <c r="H6" s="6">
        <v>0.8</v>
      </c>
      <c r="I6" s="6">
        <v>0.9</v>
      </c>
      <c r="J6" s="6">
        <v>1</v>
      </c>
      <c r="K6" s="6">
        <v>0.3</v>
      </c>
      <c r="L6" s="6">
        <v>3.3</v>
      </c>
      <c r="M6" s="6">
        <v>7.8</v>
      </c>
      <c r="N6" s="6">
        <v>11.6</v>
      </c>
      <c r="O6" s="6">
        <f t="shared" si="0"/>
        <v>1.1160000000000001</v>
      </c>
      <c r="P6" s="6">
        <f t="shared" si="1"/>
        <v>0.49283154121863798</v>
      </c>
      <c r="Q6" s="6">
        <f t="shared" si="2"/>
        <v>4.9283154121863794E-4</v>
      </c>
    </row>
    <row r="7" spans="1:17">
      <c r="A7" s="6" t="s">
        <v>2</v>
      </c>
      <c r="B7" s="6">
        <v>0.32</v>
      </c>
      <c r="C7" s="6">
        <v>0.41</v>
      </c>
      <c r="D7" s="6">
        <v>0.71</v>
      </c>
      <c r="E7" s="6">
        <v>0.35</v>
      </c>
      <c r="F7" s="6">
        <v>0.45</v>
      </c>
      <c r="G7" s="6">
        <v>0.75</v>
      </c>
      <c r="H7" s="6">
        <v>0.8</v>
      </c>
      <c r="I7" s="6">
        <v>0.9</v>
      </c>
      <c r="J7" s="6">
        <v>1</v>
      </c>
      <c r="K7" s="6">
        <v>0.1</v>
      </c>
      <c r="L7" s="6">
        <v>3.8</v>
      </c>
      <c r="M7" s="6">
        <v>7.6</v>
      </c>
      <c r="N7" s="6">
        <v>11.7</v>
      </c>
      <c r="O7" s="6">
        <f t="shared" si="0"/>
        <v>1.117</v>
      </c>
      <c r="P7" s="6">
        <f t="shared" si="1"/>
        <v>0.36705461056401073</v>
      </c>
      <c r="Q7" s="6">
        <f t="shared" si="2"/>
        <v>3.6705461056401071E-4</v>
      </c>
    </row>
    <row r="8" spans="1:17">
      <c r="A8" s="6" t="s">
        <v>9</v>
      </c>
      <c r="B8" s="6">
        <v>0.32</v>
      </c>
      <c r="C8" s="6">
        <v>0.47</v>
      </c>
      <c r="D8" s="6">
        <v>0.73</v>
      </c>
      <c r="E8" s="6">
        <v>0.35</v>
      </c>
      <c r="F8" s="6">
        <v>0.51</v>
      </c>
      <c r="G8" s="6">
        <v>0.77</v>
      </c>
      <c r="I8" s="6">
        <v>0.8</v>
      </c>
      <c r="K8" s="6">
        <v>0.3</v>
      </c>
      <c r="L8" s="6">
        <v>4.2</v>
      </c>
      <c r="M8" s="6">
        <v>7.4</v>
      </c>
      <c r="N8" s="6">
        <v>11.9</v>
      </c>
      <c r="O8" s="6">
        <f t="shared" si="0"/>
        <v>1.119</v>
      </c>
      <c r="P8" s="6">
        <f t="shared" si="1"/>
        <v>0.42001787310098299</v>
      </c>
      <c r="Q8" s="6">
        <f t="shared" si="2"/>
        <v>4.2001787310098296E-4</v>
      </c>
    </row>
    <row r="9" spans="1:17">
      <c r="A9" s="6" t="s">
        <v>27</v>
      </c>
      <c r="B9" s="6">
        <v>0.31</v>
      </c>
      <c r="C9" s="6">
        <v>0.37</v>
      </c>
      <c r="D9" s="6">
        <v>0.47</v>
      </c>
      <c r="E9" s="6">
        <v>0.34</v>
      </c>
      <c r="F9" s="6">
        <v>0.4</v>
      </c>
      <c r="G9" s="6">
        <v>0.51</v>
      </c>
      <c r="H9" s="6">
        <v>0.57999999999999996</v>
      </c>
      <c r="J9" s="6">
        <v>0.72</v>
      </c>
      <c r="K9" s="6">
        <v>0.2</v>
      </c>
      <c r="L9" s="6">
        <v>2.2999999999999998</v>
      </c>
      <c r="M9" s="6">
        <v>6</v>
      </c>
      <c r="N9" s="6">
        <v>8.4</v>
      </c>
      <c r="O9" s="6">
        <f t="shared" si="0"/>
        <v>1.0840000000000001</v>
      </c>
      <c r="P9" s="6">
        <f t="shared" si="1"/>
        <v>0.34132841328413283</v>
      </c>
      <c r="Q9" s="6">
        <f t="shared" si="2"/>
        <v>3.4132841328413284E-4</v>
      </c>
    </row>
    <row r="10" spans="1:17">
      <c r="A10" s="6" t="s">
        <v>1458</v>
      </c>
      <c r="B10" s="6">
        <v>0.49</v>
      </c>
      <c r="C10" s="6">
        <v>0.68</v>
      </c>
      <c r="D10" s="6">
        <v>0.88</v>
      </c>
      <c r="E10" s="6">
        <v>0.54</v>
      </c>
      <c r="F10" s="6">
        <v>0.72</v>
      </c>
      <c r="G10" s="6">
        <v>0.91</v>
      </c>
      <c r="H10" s="6">
        <v>0.82</v>
      </c>
      <c r="I10" s="6">
        <v>1.07</v>
      </c>
      <c r="J10" s="6">
        <v>1.27</v>
      </c>
      <c r="K10" s="6">
        <v>0.3</v>
      </c>
      <c r="L10" s="6">
        <v>5.8</v>
      </c>
      <c r="M10" s="6">
        <v>11.8</v>
      </c>
      <c r="N10" s="6">
        <v>17.899999999999999</v>
      </c>
      <c r="O10" s="6">
        <f t="shared" si="0"/>
        <v>1.179</v>
      </c>
      <c r="P10" s="6">
        <f t="shared" si="1"/>
        <v>0.57675996607294322</v>
      </c>
      <c r="Q10" s="6">
        <f t="shared" si="2"/>
        <v>5.7675996607294325E-4</v>
      </c>
    </row>
    <row r="11" spans="1:17">
      <c r="A11" s="6" t="s">
        <v>28</v>
      </c>
      <c r="B11" s="6">
        <v>0.39</v>
      </c>
      <c r="C11" s="6">
        <v>0.65</v>
      </c>
      <c r="D11" s="6">
        <v>0.93</v>
      </c>
      <c r="E11" s="6">
        <v>0.43</v>
      </c>
      <c r="F11" s="6">
        <v>0.69</v>
      </c>
      <c r="G11" s="6">
        <v>0.96</v>
      </c>
      <c r="H11" s="6">
        <v>0.65</v>
      </c>
      <c r="I11" s="6">
        <v>1</v>
      </c>
      <c r="J11" s="6">
        <v>1.1499999999999999</v>
      </c>
      <c r="K11" s="6">
        <v>0.4</v>
      </c>
      <c r="L11" s="6">
        <v>4.3</v>
      </c>
      <c r="M11" s="6">
        <v>8.9</v>
      </c>
      <c r="N11" s="6">
        <v>14.1</v>
      </c>
      <c r="O11" s="6">
        <f t="shared" si="0"/>
        <v>1.141</v>
      </c>
      <c r="P11" s="6">
        <f t="shared" si="1"/>
        <v>0.56967572304995617</v>
      </c>
      <c r="Q11" s="6">
        <f t="shared" si="2"/>
        <v>5.6967572304995613E-4</v>
      </c>
    </row>
    <row r="12" spans="1:17">
      <c r="A12" s="6" t="s">
        <v>29</v>
      </c>
      <c r="B12" s="6">
        <v>0.41</v>
      </c>
      <c r="C12" s="6">
        <v>0.65</v>
      </c>
      <c r="D12" s="6">
        <v>0.82</v>
      </c>
      <c r="E12" s="6">
        <v>0.45</v>
      </c>
      <c r="F12" s="6">
        <v>0.69</v>
      </c>
      <c r="G12" s="6">
        <v>0.86</v>
      </c>
      <c r="H12" s="6">
        <v>0.6</v>
      </c>
      <c r="I12" s="6">
        <v>0.8</v>
      </c>
      <c r="J12" s="6">
        <v>1.1399999999999999</v>
      </c>
      <c r="K12" s="6">
        <v>0.2</v>
      </c>
      <c r="L12" s="6">
        <v>5</v>
      </c>
      <c r="M12" s="6">
        <v>8</v>
      </c>
      <c r="N12" s="6">
        <v>13.4</v>
      </c>
      <c r="O12" s="6">
        <f t="shared" si="0"/>
        <v>1.1339999999999999</v>
      </c>
      <c r="P12" s="6">
        <f t="shared" si="1"/>
        <v>0.57319223985890655</v>
      </c>
      <c r="Q12" s="6">
        <f t="shared" si="2"/>
        <v>5.7319223985890654E-4</v>
      </c>
    </row>
    <row r="13" spans="1:17">
      <c r="A13" s="6" t="s">
        <v>30</v>
      </c>
      <c r="B13" s="6">
        <v>0.48</v>
      </c>
      <c r="C13" s="6">
        <v>0.59</v>
      </c>
      <c r="D13" s="6">
        <v>0.75</v>
      </c>
      <c r="E13" s="6">
        <v>0.53</v>
      </c>
      <c r="F13" s="6">
        <v>0.63</v>
      </c>
      <c r="G13" s="6">
        <v>0.79</v>
      </c>
      <c r="H13" s="6">
        <v>0.83</v>
      </c>
      <c r="I13" s="6">
        <v>0.97</v>
      </c>
      <c r="J13" s="6">
        <v>1.04</v>
      </c>
      <c r="K13" s="6">
        <v>0.5</v>
      </c>
      <c r="L13" s="6">
        <v>3</v>
      </c>
      <c r="M13" s="6">
        <v>8</v>
      </c>
      <c r="N13" s="6">
        <v>11.5</v>
      </c>
      <c r="O13" s="6">
        <f t="shared" si="0"/>
        <v>1.115</v>
      </c>
      <c r="P13" s="6">
        <f t="shared" si="1"/>
        <v>0.52914798206278024</v>
      </c>
      <c r="Q13" s="6">
        <f t="shared" si="2"/>
        <v>5.2914798206278027E-4</v>
      </c>
    </row>
    <row r="14" spans="1:17">
      <c r="A14" s="6" t="s">
        <v>31</v>
      </c>
      <c r="B14" s="6">
        <v>0.52</v>
      </c>
      <c r="C14" s="6">
        <v>0.62</v>
      </c>
      <c r="D14" s="6">
        <v>0.77</v>
      </c>
      <c r="E14" s="6">
        <v>0.56000000000000005</v>
      </c>
      <c r="F14" s="6">
        <v>0.66</v>
      </c>
      <c r="G14" s="6">
        <v>0.81</v>
      </c>
      <c r="K14" s="6">
        <v>0.5</v>
      </c>
      <c r="L14" s="6">
        <v>3.2</v>
      </c>
      <c r="M14" s="6">
        <v>8.4</v>
      </c>
      <c r="N14" s="6">
        <v>12.1</v>
      </c>
      <c r="O14" s="6">
        <f t="shared" si="0"/>
        <v>1.121</v>
      </c>
      <c r="P14" s="6">
        <f t="shared" si="1"/>
        <v>0.55307760927743088</v>
      </c>
      <c r="Q14" s="6">
        <f t="shared" si="2"/>
        <v>5.5307760927743093E-4</v>
      </c>
    </row>
    <row r="15" spans="1:17">
      <c r="A15" s="6" t="s">
        <v>32</v>
      </c>
      <c r="B15" s="6">
        <v>0.44</v>
      </c>
      <c r="C15" s="6">
        <v>0.64</v>
      </c>
      <c r="D15" s="6">
        <v>0.82</v>
      </c>
      <c r="E15" s="6">
        <v>0.48</v>
      </c>
      <c r="F15" s="6">
        <v>0.68</v>
      </c>
      <c r="G15" s="6">
        <v>0.86</v>
      </c>
      <c r="H15" s="6">
        <v>0.73</v>
      </c>
      <c r="I15" s="6">
        <v>0.85</v>
      </c>
      <c r="J15" s="6">
        <v>1.18</v>
      </c>
      <c r="K15" s="6">
        <v>0.3</v>
      </c>
      <c r="L15" s="6">
        <v>4.5999999999999996</v>
      </c>
      <c r="M15" s="6">
        <v>8.3000000000000007</v>
      </c>
      <c r="N15" s="6">
        <v>13.5</v>
      </c>
      <c r="O15" s="6">
        <f t="shared" si="0"/>
        <v>1.135</v>
      </c>
      <c r="P15" s="6">
        <f t="shared" si="1"/>
        <v>0.56387665198237891</v>
      </c>
      <c r="Q15" s="6">
        <f t="shared" si="2"/>
        <v>5.6387665198237894E-4</v>
      </c>
    </row>
    <row r="16" spans="1:17">
      <c r="A16" s="6" t="s">
        <v>1454</v>
      </c>
      <c r="B16" s="6">
        <v>0.5</v>
      </c>
      <c r="C16" s="6">
        <v>0.79</v>
      </c>
      <c r="D16" s="6">
        <v>0.82</v>
      </c>
      <c r="E16" s="6">
        <v>0.54</v>
      </c>
      <c r="F16" s="6">
        <v>0.83</v>
      </c>
      <c r="G16" s="6">
        <v>0.86</v>
      </c>
      <c r="H16" s="6">
        <v>0.66</v>
      </c>
      <c r="I16" s="6">
        <v>0.97</v>
      </c>
      <c r="J16" s="6">
        <v>1.2</v>
      </c>
      <c r="K16" s="6">
        <v>0.5</v>
      </c>
      <c r="L16" s="6">
        <v>6.8</v>
      </c>
      <c r="M16" s="6">
        <v>11.5</v>
      </c>
      <c r="N16" s="6">
        <v>18.8</v>
      </c>
      <c r="O16" s="6">
        <f t="shared" si="0"/>
        <v>1.1879999999999999</v>
      </c>
      <c r="P16" s="6">
        <f t="shared" si="1"/>
        <v>0.66498316498316501</v>
      </c>
      <c r="Q16" s="6">
        <f t="shared" si="2"/>
        <v>6.64983164983165E-4</v>
      </c>
    </row>
    <row r="17" spans="1:17">
      <c r="A17" s="6" t="s">
        <v>33</v>
      </c>
      <c r="B17" s="6">
        <v>0.54</v>
      </c>
      <c r="C17" s="6">
        <v>0.73</v>
      </c>
      <c r="D17" s="6">
        <v>0.87</v>
      </c>
      <c r="E17" s="6">
        <v>0.57999999999999996</v>
      </c>
      <c r="F17" s="6">
        <v>0.77</v>
      </c>
      <c r="G17" s="6">
        <v>0.9</v>
      </c>
      <c r="H17" s="6">
        <v>0.8</v>
      </c>
      <c r="I17" s="6">
        <v>0.9</v>
      </c>
      <c r="J17" s="6">
        <v>0.95</v>
      </c>
      <c r="K17" s="6">
        <v>0.1</v>
      </c>
      <c r="L17" s="6">
        <v>4.4000000000000004</v>
      </c>
      <c r="M17" s="6">
        <v>6.9</v>
      </c>
      <c r="N17" s="6">
        <v>11.4</v>
      </c>
      <c r="O17" s="6">
        <f t="shared" si="0"/>
        <v>1.1140000000000001</v>
      </c>
      <c r="P17" s="6">
        <f t="shared" si="1"/>
        <v>0.65529622980251334</v>
      </c>
      <c r="Q17" s="6">
        <f t="shared" si="2"/>
        <v>6.5529622980251337E-4</v>
      </c>
    </row>
    <row r="18" spans="1:17">
      <c r="A18" s="6" t="s">
        <v>34</v>
      </c>
      <c r="B18" s="6">
        <v>0.37</v>
      </c>
      <c r="C18" s="6">
        <v>0.41</v>
      </c>
      <c r="D18" s="6">
        <v>0.52</v>
      </c>
      <c r="E18" s="6">
        <v>0.41</v>
      </c>
      <c r="F18" s="6">
        <v>0.45</v>
      </c>
      <c r="G18" s="6">
        <v>0.56000000000000005</v>
      </c>
      <c r="H18" s="6">
        <v>0.73</v>
      </c>
      <c r="I18" s="6">
        <v>0.9</v>
      </c>
      <c r="J18" s="6">
        <v>1.07</v>
      </c>
      <c r="K18" s="6">
        <v>0.3</v>
      </c>
      <c r="L18" s="6">
        <v>5.2</v>
      </c>
      <c r="M18" s="6">
        <v>8.3000000000000007</v>
      </c>
      <c r="N18" s="6">
        <v>14.3</v>
      </c>
      <c r="O18" s="6">
        <f t="shared" si="0"/>
        <v>1.143</v>
      </c>
      <c r="P18" s="6">
        <f t="shared" si="1"/>
        <v>0.35870516185476814</v>
      </c>
      <c r="Q18" s="6">
        <f t="shared" si="2"/>
        <v>3.5870516185476816E-4</v>
      </c>
    </row>
    <row r="19" spans="1:17" s="9" customFormat="1">
      <c r="A19" s="9" t="s">
        <v>1459</v>
      </c>
      <c r="B19" s="9">
        <v>0.36</v>
      </c>
      <c r="C19" s="9">
        <v>0.45</v>
      </c>
      <c r="D19" s="9">
        <v>0.56000000000000005</v>
      </c>
      <c r="E19" s="9">
        <v>0.4</v>
      </c>
      <c r="F19" s="9">
        <v>0.49</v>
      </c>
      <c r="G19" s="9">
        <v>0.6</v>
      </c>
      <c r="H19" s="9">
        <v>0.61</v>
      </c>
      <c r="I19" s="9">
        <v>0.81</v>
      </c>
      <c r="J19" s="9">
        <v>0.99</v>
      </c>
      <c r="K19" s="9">
        <v>0.4</v>
      </c>
      <c r="L19" s="9">
        <v>3.3</v>
      </c>
      <c r="M19" s="9">
        <v>8.1999999999999993</v>
      </c>
      <c r="N19" s="9">
        <v>11.9</v>
      </c>
      <c r="O19" s="9">
        <f t="shared" si="0"/>
        <v>1.119</v>
      </c>
      <c r="P19" s="9">
        <f t="shared" si="1"/>
        <v>0.40214477211796246</v>
      </c>
      <c r="Q19" s="9">
        <f t="shared" si="2"/>
        <v>4.0214477211796245E-4</v>
      </c>
    </row>
    <row r="20" spans="1:17">
      <c r="A20" s="6" t="s">
        <v>35</v>
      </c>
      <c r="B20" s="6">
        <v>0.33</v>
      </c>
      <c r="C20" s="6">
        <v>0.52</v>
      </c>
      <c r="D20" s="6">
        <v>0.59</v>
      </c>
      <c r="E20" s="6">
        <v>0.36</v>
      </c>
      <c r="F20" s="6">
        <v>0.56000000000000005</v>
      </c>
      <c r="G20" s="6">
        <v>0.63</v>
      </c>
      <c r="H20" s="6">
        <v>0.75</v>
      </c>
      <c r="J20" s="6">
        <v>0.99</v>
      </c>
      <c r="K20" s="6">
        <v>0.5</v>
      </c>
      <c r="L20" s="6">
        <v>3.9</v>
      </c>
      <c r="M20" s="6">
        <v>6.8</v>
      </c>
      <c r="N20" s="6">
        <v>11.2</v>
      </c>
      <c r="O20" s="6">
        <f t="shared" si="0"/>
        <v>1.1120000000000001</v>
      </c>
      <c r="P20" s="6">
        <f t="shared" si="1"/>
        <v>0.46762589928057552</v>
      </c>
      <c r="Q20" s="6">
        <f t="shared" si="2"/>
        <v>4.6762589928057551E-4</v>
      </c>
    </row>
    <row r="21" spans="1:17">
      <c r="A21" s="6" t="s">
        <v>36</v>
      </c>
      <c r="B21" s="6">
        <v>0.45</v>
      </c>
      <c r="C21" s="6">
        <v>0.51</v>
      </c>
      <c r="D21" s="6">
        <v>0.6</v>
      </c>
      <c r="E21" s="6">
        <v>0.49</v>
      </c>
      <c r="F21" s="6">
        <v>0.55000000000000004</v>
      </c>
      <c r="G21" s="6">
        <v>0.64</v>
      </c>
      <c r="H21" s="6">
        <v>0.9</v>
      </c>
      <c r="J21" s="6">
        <v>0.93</v>
      </c>
      <c r="K21" s="6">
        <v>0.4</v>
      </c>
      <c r="L21" s="6">
        <v>4.3</v>
      </c>
      <c r="M21" s="6">
        <v>9.3000000000000007</v>
      </c>
      <c r="N21" s="6">
        <v>13.6</v>
      </c>
      <c r="O21" s="6">
        <f t="shared" si="0"/>
        <v>1.1360000000000001</v>
      </c>
      <c r="P21" s="6">
        <f t="shared" si="1"/>
        <v>0.44894366197183094</v>
      </c>
      <c r="Q21" s="6">
        <f t="shared" si="2"/>
        <v>4.4894366197183096E-4</v>
      </c>
    </row>
    <row r="22" spans="1:17">
      <c r="A22" s="6" t="s">
        <v>37</v>
      </c>
      <c r="B22" s="6">
        <v>0.32</v>
      </c>
      <c r="C22" s="6">
        <v>0.49</v>
      </c>
      <c r="D22" s="6">
        <v>0.56000000000000005</v>
      </c>
      <c r="E22" s="6">
        <v>0.35</v>
      </c>
      <c r="F22" s="6">
        <v>0.53</v>
      </c>
      <c r="G22" s="6">
        <v>0.6</v>
      </c>
      <c r="H22" s="6">
        <v>0.57999999999999996</v>
      </c>
      <c r="J22" s="6">
        <v>0.88</v>
      </c>
      <c r="K22" s="6">
        <v>0.3</v>
      </c>
      <c r="L22" s="6">
        <v>5.5</v>
      </c>
      <c r="M22" s="6">
        <v>9.1</v>
      </c>
      <c r="N22" s="6">
        <v>14.6</v>
      </c>
      <c r="O22" s="6">
        <f t="shared" si="0"/>
        <v>1.1459999999999999</v>
      </c>
      <c r="P22" s="6">
        <f t="shared" si="1"/>
        <v>0.42757417102966844</v>
      </c>
      <c r="Q22" s="6">
        <f t="shared" si="2"/>
        <v>4.2757417102966841E-4</v>
      </c>
    </row>
    <row r="23" spans="1:17" s="28" customFormat="1">
      <c r="A23" s="28" t="s">
        <v>38</v>
      </c>
      <c r="B23" s="28">
        <v>0.46</v>
      </c>
      <c r="C23" s="28">
        <v>0.61</v>
      </c>
      <c r="D23" s="28">
        <v>0.8</v>
      </c>
      <c r="E23" s="28">
        <v>0.51</v>
      </c>
      <c r="F23" s="28">
        <v>0.65</v>
      </c>
      <c r="G23" s="28">
        <v>0.83</v>
      </c>
      <c r="H23" s="28">
        <v>0.8</v>
      </c>
      <c r="I23" s="28">
        <v>0.85</v>
      </c>
      <c r="J23" s="28">
        <v>0.9</v>
      </c>
      <c r="K23" s="28">
        <v>0.6</v>
      </c>
      <c r="L23" s="28">
        <v>5.3</v>
      </c>
      <c r="M23" s="28">
        <v>7.8</v>
      </c>
      <c r="N23" s="28">
        <v>13.7</v>
      </c>
      <c r="O23" s="28">
        <f t="shared" si="0"/>
        <v>1.137</v>
      </c>
      <c r="P23" s="28">
        <f t="shared" si="1"/>
        <v>0.53649956024626211</v>
      </c>
      <c r="Q23" s="28">
        <f t="shared" si="2"/>
        <v>5.364995602462621E-4</v>
      </c>
    </row>
    <row r="24" spans="1:17">
      <c r="A24" s="6" t="s">
        <v>39</v>
      </c>
      <c r="B24" s="6">
        <v>0.46</v>
      </c>
      <c r="C24" s="6">
        <v>0.51</v>
      </c>
      <c r="D24" s="6">
        <v>0.55000000000000004</v>
      </c>
      <c r="E24" s="6">
        <v>0.5</v>
      </c>
      <c r="F24" s="6">
        <v>0.55000000000000004</v>
      </c>
      <c r="G24" s="6">
        <v>0.59</v>
      </c>
      <c r="H24" s="6">
        <v>0.76</v>
      </c>
      <c r="I24" s="6">
        <v>0.9</v>
      </c>
      <c r="J24" s="6">
        <v>1.04</v>
      </c>
      <c r="K24" s="6">
        <v>0.9</v>
      </c>
      <c r="L24" s="6">
        <v>3.3</v>
      </c>
      <c r="M24" s="6">
        <v>6.8</v>
      </c>
      <c r="N24" s="6">
        <v>11</v>
      </c>
      <c r="O24" s="6">
        <f t="shared" si="0"/>
        <v>1.1100000000000001</v>
      </c>
      <c r="P24" s="6">
        <f t="shared" si="1"/>
        <v>0.45945945945945943</v>
      </c>
      <c r="Q24" s="6">
        <f t="shared" si="2"/>
        <v>4.5945945945945942E-4</v>
      </c>
    </row>
    <row r="25" spans="1:17">
      <c r="A25" s="6" t="s">
        <v>40</v>
      </c>
      <c r="B25" s="6">
        <v>0.49</v>
      </c>
      <c r="C25" s="6">
        <v>0.56999999999999995</v>
      </c>
      <c r="D25" s="6">
        <v>0.67</v>
      </c>
      <c r="E25" s="6">
        <v>0.52</v>
      </c>
      <c r="F25" s="6">
        <v>0.6</v>
      </c>
      <c r="G25" s="6">
        <v>0.7</v>
      </c>
      <c r="I25" s="6">
        <v>0.9</v>
      </c>
      <c r="L25" s="6">
        <v>5</v>
      </c>
      <c r="M25" s="6">
        <v>8.6999999999999993</v>
      </c>
      <c r="N25" s="6">
        <v>13.7</v>
      </c>
      <c r="O25" s="6">
        <f t="shared" si="0"/>
        <v>1.137</v>
      </c>
      <c r="P25" s="6">
        <f t="shared" si="1"/>
        <v>0.50131926121372028</v>
      </c>
      <c r="Q25" s="6">
        <f t="shared" si="2"/>
        <v>5.0131926121372032E-4</v>
      </c>
    </row>
    <row r="26" spans="1:17">
      <c r="A26" s="6" t="s">
        <v>41</v>
      </c>
      <c r="B26" s="6">
        <v>0.45</v>
      </c>
      <c r="C26" s="6">
        <v>0.64</v>
      </c>
      <c r="D26" s="6">
        <v>0.75</v>
      </c>
      <c r="F26" s="6">
        <v>0.68</v>
      </c>
      <c r="H26" s="6">
        <v>0.9</v>
      </c>
      <c r="J26" s="6">
        <v>1</v>
      </c>
      <c r="K26" s="6">
        <v>0.5</v>
      </c>
      <c r="L26" s="6">
        <v>5.4</v>
      </c>
      <c r="M26" s="6">
        <v>7.5</v>
      </c>
      <c r="N26" s="6">
        <v>13.4</v>
      </c>
      <c r="O26" s="6">
        <f t="shared" si="0"/>
        <v>1.1339999999999999</v>
      </c>
      <c r="P26" s="6">
        <f t="shared" si="1"/>
        <v>0.56437389770723112</v>
      </c>
      <c r="Q26" s="6">
        <f t="shared" si="2"/>
        <v>5.643738977072311E-4</v>
      </c>
    </row>
    <row r="28" spans="1:17">
      <c r="A28" s="7" t="s">
        <v>42</v>
      </c>
    </row>
    <row r="29" spans="1:17">
      <c r="A29" s="7" t="s">
        <v>43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horizontalDpi="300" verticalDpi="300" r:id="rId1"/>
  <headerFooter alignWithMargins="0">
    <oddFooter>&amp;C&amp;A&amp;R&amp;F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>
      <selection activeCell="A59" sqref="A59"/>
    </sheetView>
  </sheetViews>
  <sheetFormatPr baseColWidth="10" defaultRowHeight="12.75"/>
  <sheetData>
    <row r="1" spans="1:6">
      <c r="A1" t="s">
        <v>115</v>
      </c>
    </row>
    <row r="4" spans="1:6">
      <c r="A4" t="s">
        <v>116</v>
      </c>
    </row>
    <row r="6" spans="1:6">
      <c r="A6" s="90" t="s">
        <v>117</v>
      </c>
      <c r="B6" s="90" t="s">
        <v>118</v>
      </c>
      <c r="C6" s="90" t="s">
        <v>119</v>
      </c>
      <c r="D6" s="90" t="s">
        <v>120</v>
      </c>
      <c r="E6" s="90" t="s">
        <v>121</v>
      </c>
      <c r="F6" s="90" t="s">
        <v>122</v>
      </c>
    </row>
    <row r="7" spans="1:6">
      <c r="A7" s="26" t="s">
        <v>123</v>
      </c>
      <c r="B7" t="s">
        <v>128</v>
      </c>
      <c r="C7">
        <v>120</v>
      </c>
      <c r="D7">
        <v>8.5</v>
      </c>
      <c r="E7">
        <v>575</v>
      </c>
      <c r="F7" t="s">
        <v>137</v>
      </c>
    </row>
    <row r="8" spans="1:6">
      <c r="A8" s="26" t="s">
        <v>124</v>
      </c>
      <c r="B8" t="s">
        <v>128</v>
      </c>
      <c r="C8">
        <v>140</v>
      </c>
      <c r="D8">
        <v>8.5</v>
      </c>
      <c r="E8">
        <v>640</v>
      </c>
      <c r="F8" t="s">
        <v>136</v>
      </c>
    </row>
    <row r="9" spans="1:6">
      <c r="A9" s="26" t="s">
        <v>125</v>
      </c>
      <c r="B9" t="s">
        <v>130</v>
      </c>
      <c r="C9" t="s">
        <v>131</v>
      </c>
      <c r="D9">
        <v>8.1</v>
      </c>
      <c r="E9">
        <v>690</v>
      </c>
      <c r="F9" t="s">
        <v>134</v>
      </c>
    </row>
    <row r="10" spans="1:6">
      <c r="A10" s="26" t="s">
        <v>126</v>
      </c>
      <c r="B10" t="s">
        <v>130</v>
      </c>
      <c r="C10">
        <v>130</v>
      </c>
      <c r="D10">
        <v>8.5</v>
      </c>
      <c r="E10">
        <v>575</v>
      </c>
      <c r="F10" t="s">
        <v>135</v>
      </c>
    </row>
    <row r="11" spans="1:6">
      <c r="A11" s="26" t="s">
        <v>127</v>
      </c>
      <c r="B11" t="s">
        <v>129</v>
      </c>
      <c r="C11" s="91" t="s">
        <v>132</v>
      </c>
      <c r="D11" t="s">
        <v>133</v>
      </c>
      <c r="E11">
        <v>930</v>
      </c>
      <c r="F11" t="s">
        <v>134</v>
      </c>
    </row>
    <row r="14" spans="1:6">
      <c r="A14" s="26" t="s">
        <v>138</v>
      </c>
    </row>
    <row r="16" spans="1:6">
      <c r="A16" s="90" t="s">
        <v>117</v>
      </c>
      <c r="B16" s="90" t="s">
        <v>139</v>
      </c>
      <c r="C16" s="90" t="s">
        <v>140</v>
      </c>
      <c r="D16" s="90" t="s">
        <v>141</v>
      </c>
      <c r="E16" s="90" t="s">
        <v>142</v>
      </c>
    </row>
    <row r="17" spans="1:5">
      <c r="A17" s="26" t="s">
        <v>123</v>
      </c>
      <c r="B17" t="s">
        <v>143</v>
      </c>
      <c r="C17" t="s">
        <v>152</v>
      </c>
      <c r="D17" t="s">
        <v>153</v>
      </c>
      <c r="E17">
        <v>38</v>
      </c>
    </row>
    <row r="18" spans="1:5">
      <c r="A18" s="26" t="s">
        <v>124</v>
      </c>
      <c r="B18" t="s">
        <v>144</v>
      </c>
      <c r="C18" t="s">
        <v>151</v>
      </c>
      <c r="D18" t="s">
        <v>154</v>
      </c>
      <c r="E18">
        <v>30</v>
      </c>
    </row>
    <row r="19" spans="1:5">
      <c r="A19" s="26" t="s">
        <v>125</v>
      </c>
      <c r="B19" t="s">
        <v>145</v>
      </c>
      <c r="C19" t="s">
        <v>149</v>
      </c>
      <c r="D19" t="s">
        <v>155</v>
      </c>
      <c r="E19">
        <v>67</v>
      </c>
    </row>
    <row r="20" spans="1:5">
      <c r="A20" s="26" t="s">
        <v>126</v>
      </c>
      <c r="B20" t="s">
        <v>146</v>
      </c>
      <c r="C20" t="s">
        <v>148</v>
      </c>
      <c r="D20" t="s">
        <v>156</v>
      </c>
      <c r="E20">
        <v>42</v>
      </c>
    </row>
    <row r="21" spans="1:5">
      <c r="A21" s="26" t="s">
        <v>127</v>
      </c>
      <c r="B21" t="s">
        <v>147</v>
      </c>
      <c r="C21" t="s">
        <v>150</v>
      </c>
      <c r="D21" t="s">
        <v>157</v>
      </c>
      <c r="E21">
        <v>29</v>
      </c>
    </row>
    <row r="25" spans="1:5">
      <c r="A25" s="26" t="s">
        <v>163</v>
      </c>
    </row>
    <row r="27" spans="1:5">
      <c r="A27" s="90" t="s">
        <v>158</v>
      </c>
      <c r="B27" s="90" t="s">
        <v>159</v>
      </c>
      <c r="C27" s="90" t="s">
        <v>160</v>
      </c>
      <c r="D27" s="90" t="s">
        <v>161</v>
      </c>
      <c r="E27" s="90" t="s">
        <v>162</v>
      </c>
    </row>
    <row r="28" spans="1:5">
      <c r="A28" s="26" t="s">
        <v>164</v>
      </c>
      <c r="B28" t="s">
        <v>169</v>
      </c>
      <c r="C28" t="s">
        <v>170</v>
      </c>
      <c r="D28" t="s">
        <v>173</v>
      </c>
      <c r="E28" t="s">
        <v>175</v>
      </c>
    </row>
    <row r="29" spans="1:5">
      <c r="A29" s="26" t="s">
        <v>165</v>
      </c>
      <c r="B29" t="s">
        <v>169</v>
      </c>
      <c r="C29" t="s">
        <v>170</v>
      </c>
      <c r="D29" t="s">
        <v>174</v>
      </c>
      <c r="E29" t="s">
        <v>232</v>
      </c>
    </row>
    <row r="30" spans="1:5">
      <c r="A30" s="26" t="s">
        <v>166</v>
      </c>
      <c r="B30" t="s">
        <v>169</v>
      </c>
      <c r="C30" t="s">
        <v>170</v>
      </c>
      <c r="D30" t="s">
        <v>174</v>
      </c>
      <c r="E30" t="s">
        <v>232</v>
      </c>
    </row>
    <row r="31" spans="1:5">
      <c r="A31" s="26" t="s">
        <v>167</v>
      </c>
      <c r="B31" t="s">
        <v>169</v>
      </c>
      <c r="C31" t="s">
        <v>171</v>
      </c>
      <c r="D31" t="s">
        <v>173</v>
      </c>
    </row>
    <row r="32" spans="1:5">
      <c r="A32" s="26" t="s">
        <v>168</v>
      </c>
      <c r="B32" t="s">
        <v>169</v>
      </c>
      <c r="C32" t="s">
        <v>172</v>
      </c>
      <c r="D32" t="s">
        <v>173</v>
      </c>
      <c r="E32" t="s">
        <v>175</v>
      </c>
    </row>
    <row r="35" spans="1:7">
      <c r="A35" s="26" t="s">
        <v>176</v>
      </c>
    </row>
    <row r="37" spans="1:7">
      <c r="A37" s="90" t="s">
        <v>55</v>
      </c>
      <c r="B37" s="90" t="s">
        <v>123</v>
      </c>
      <c r="C37" s="90" t="s">
        <v>124</v>
      </c>
      <c r="D37" s="90" t="s">
        <v>125</v>
      </c>
      <c r="E37" s="90" t="s">
        <v>126</v>
      </c>
      <c r="F37" s="90" t="s">
        <v>127</v>
      </c>
    </row>
    <row r="38" spans="1:7">
      <c r="A38" s="26" t="s">
        <v>164</v>
      </c>
      <c r="B38" s="37" t="s">
        <v>705</v>
      </c>
      <c r="C38" s="37" t="s">
        <v>705</v>
      </c>
      <c r="D38" s="37"/>
      <c r="E38" s="37"/>
      <c r="F38" s="37"/>
    </row>
    <row r="39" spans="1:7">
      <c r="A39" s="26" t="s">
        <v>167</v>
      </c>
      <c r="B39" s="37" t="s">
        <v>705</v>
      </c>
      <c r="C39" s="37"/>
      <c r="D39" s="37"/>
      <c r="E39" s="37"/>
      <c r="F39" s="37"/>
    </row>
    <row r="40" spans="1:7">
      <c r="A40" s="26" t="s">
        <v>166</v>
      </c>
      <c r="B40" s="37" t="s">
        <v>705</v>
      </c>
      <c r="C40" s="37" t="s">
        <v>705</v>
      </c>
      <c r="D40" s="37"/>
      <c r="E40" s="37"/>
      <c r="F40" s="37"/>
    </row>
    <row r="41" spans="1:7">
      <c r="A41" s="26" t="s">
        <v>165</v>
      </c>
      <c r="B41" s="37" t="s">
        <v>178</v>
      </c>
      <c r="C41" s="37"/>
      <c r="D41" s="37" t="s">
        <v>705</v>
      </c>
      <c r="E41" s="37" t="s">
        <v>705</v>
      </c>
      <c r="F41" s="37" t="s">
        <v>705</v>
      </c>
    </row>
    <row r="42" spans="1:7">
      <c r="A42" s="26" t="s">
        <v>168</v>
      </c>
      <c r="B42" s="37" t="s">
        <v>705</v>
      </c>
      <c r="C42" s="37" t="s">
        <v>705</v>
      </c>
      <c r="D42" s="37" t="s">
        <v>705</v>
      </c>
      <c r="E42" s="37" t="s">
        <v>705</v>
      </c>
      <c r="F42" s="37"/>
      <c r="G42" t="s">
        <v>177</v>
      </c>
    </row>
    <row r="45" spans="1:7">
      <c r="A45" s="26" t="s">
        <v>179</v>
      </c>
    </row>
    <row r="47" spans="1:7">
      <c r="A47" s="47"/>
      <c r="B47" s="90" t="s">
        <v>123</v>
      </c>
      <c r="C47" s="90" t="s">
        <v>124</v>
      </c>
      <c r="D47" s="90" t="s">
        <v>125</v>
      </c>
      <c r="E47" s="90" t="s">
        <v>126</v>
      </c>
      <c r="F47" s="90" t="s">
        <v>127</v>
      </c>
    </row>
    <row r="48" spans="1:7">
      <c r="A48" s="26" t="s">
        <v>180</v>
      </c>
      <c r="B48">
        <v>17.5</v>
      </c>
      <c r="C48">
        <v>3.6</v>
      </c>
      <c r="D48">
        <v>13.4</v>
      </c>
      <c r="E48">
        <v>11.5</v>
      </c>
      <c r="F48">
        <v>4</v>
      </c>
    </row>
    <row r="49" spans="1:6">
      <c r="A49" s="26" t="s">
        <v>181</v>
      </c>
      <c r="B49" s="91" t="s">
        <v>186</v>
      </c>
      <c r="C49" s="91" t="s">
        <v>186</v>
      </c>
      <c r="D49" s="91" t="s">
        <v>187</v>
      </c>
      <c r="E49" s="91" t="s">
        <v>188</v>
      </c>
      <c r="F49" s="91" t="s">
        <v>187</v>
      </c>
    </row>
    <row r="50" spans="1:6">
      <c r="A50" s="26" t="s">
        <v>182</v>
      </c>
      <c r="B50">
        <v>15</v>
      </c>
      <c r="C50">
        <v>11</v>
      </c>
      <c r="D50">
        <v>12</v>
      </c>
      <c r="E50">
        <v>9</v>
      </c>
      <c r="F50">
        <v>8</v>
      </c>
    </row>
    <row r="51" spans="1:6">
      <c r="A51" s="26" t="s">
        <v>183</v>
      </c>
      <c r="B51" t="s">
        <v>705</v>
      </c>
      <c r="C51" t="s">
        <v>705</v>
      </c>
      <c r="D51" t="s">
        <v>705</v>
      </c>
      <c r="E51" t="s">
        <v>705</v>
      </c>
      <c r="F51" t="s">
        <v>705</v>
      </c>
    </row>
    <row r="52" spans="1:6">
      <c r="A52" s="26" t="s">
        <v>189</v>
      </c>
      <c r="B52" t="s">
        <v>705</v>
      </c>
      <c r="D52" t="s">
        <v>705</v>
      </c>
      <c r="E52" t="s">
        <v>705</v>
      </c>
    </row>
    <row r="53" spans="1:6">
      <c r="A53" s="26" t="s">
        <v>184</v>
      </c>
      <c r="B53" t="s">
        <v>705</v>
      </c>
      <c r="D53" t="s">
        <v>705</v>
      </c>
      <c r="E53" t="s">
        <v>705</v>
      </c>
    </row>
    <row r="54" spans="1:6">
      <c r="A54" s="26" t="s">
        <v>185</v>
      </c>
      <c r="B54" t="s">
        <v>705</v>
      </c>
      <c r="C54" t="s">
        <v>705</v>
      </c>
      <c r="D54" t="s">
        <v>190</v>
      </c>
      <c r="E54" t="s">
        <v>705</v>
      </c>
      <c r="F54" t="s">
        <v>705</v>
      </c>
    </row>
    <row r="57" spans="1:6">
      <c r="A57" s="26" t="s">
        <v>191</v>
      </c>
    </row>
    <row r="59" spans="1:6">
      <c r="A59" s="90" t="s">
        <v>192</v>
      </c>
      <c r="B59" s="90" t="s">
        <v>123</v>
      </c>
      <c r="C59" s="90" t="s">
        <v>124</v>
      </c>
      <c r="D59" s="90" t="s">
        <v>125</v>
      </c>
      <c r="E59" s="90" t="s">
        <v>126</v>
      </c>
      <c r="F59" s="90" t="s">
        <v>127</v>
      </c>
    </row>
    <row r="60" spans="1:6">
      <c r="A60" s="26" t="s">
        <v>189</v>
      </c>
      <c r="B60" t="s">
        <v>165</v>
      </c>
      <c r="D60" t="s">
        <v>165</v>
      </c>
      <c r="E60" t="s">
        <v>165</v>
      </c>
    </row>
    <row r="61" spans="1:6">
      <c r="A61" s="26" t="s">
        <v>183</v>
      </c>
      <c r="B61" t="s">
        <v>194</v>
      </c>
      <c r="C61" t="s">
        <v>195</v>
      </c>
      <c r="D61" t="s">
        <v>196</v>
      </c>
      <c r="E61" t="s">
        <v>196</v>
      </c>
      <c r="F61" t="s">
        <v>165</v>
      </c>
    </row>
    <row r="62" spans="1:6">
      <c r="A62" s="26" t="s">
        <v>193</v>
      </c>
      <c r="B62" t="s">
        <v>197</v>
      </c>
      <c r="C62" t="s">
        <v>197</v>
      </c>
      <c r="D62" t="s">
        <v>197</v>
      </c>
      <c r="E62" t="s">
        <v>197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topLeftCell="A187" workbookViewId="0">
      <selection activeCell="A214" sqref="A214"/>
    </sheetView>
  </sheetViews>
  <sheetFormatPr baseColWidth="10" defaultRowHeight="12.75"/>
  <sheetData>
    <row r="1" spans="1:4">
      <c r="A1" t="s">
        <v>964</v>
      </c>
    </row>
    <row r="3" spans="1:4">
      <c r="A3" t="s">
        <v>967</v>
      </c>
    </row>
    <row r="4" spans="1:4">
      <c r="A4" t="s">
        <v>969</v>
      </c>
    </row>
    <row r="5" spans="1:4">
      <c r="A5" t="s">
        <v>968</v>
      </c>
    </row>
    <row r="7" spans="1:4">
      <c r="A7" t="s">
        <v>974</v>
      </c>
    </row>
    <row r="9" spans="1:4">
      <c r="A9" t="s">
        <v>970</v>
      </c>
      <c r="B9" t="s">
        <v>971</v>
      </c>
      <c r="C9" t="s">
        <v>972</v>
      </c>
      <c r="D9" t="s">
        <v>973</v>
      </c>
    </row>
    <row r="10" spans="1:4">
      <c r="A10">
        <v>4</v>
      </c>
      <c r="B10">
        <v>443.7</v>
      </c>
      <c r="C10">
        <v>576.4</v>
      </c>
      <c r="D10">
        <f>(B10/C10)*100</f>
        <v>76.977793199167238</v>
      </c>
    </row>
    <row r="11" spans="1:4">
      <c r="A11">
        <v>5</v>
      </c>
      <c r="B11">
        <v>240</v>
      </c>
      <c r="C11">
        <v>322.3</v>
      </c>
      <c r="D11">
        <f t="shared" ref="D11:D25" si="0">(B11/C11)*100</f>
        <v>74.464784362395292</v>
      </c>
    </row>
    <row r="12" spans="1:4">
      <c r="A12">
        <v>6</v>
      </c>
      <c r="B12">
        <v>569.1</v>
      </c>
      <c r="C12">
        <v>730.8</v>
      </c>
      <c r="D12">
        <f t="shared" si="0"/>
        <v>77.873563218390814</v>
      </c>
    </row>
    <row r="13" spans="1:4">
      <c r="A13">
        <v>7</v>
      </c>
      <c r="B13">
        <v>393.6</v>
      </c>
      <c r="C13">
        <v>584.9</v>
      </c>
      <c r="D13">
        <f t="shared" si="0"/>
        <v>67.293554453752776</v>
      </c>
    </row>
    <row r="14" spans="1:4">
      <c r="A14">
        <v>8</v>
      </c>
      <c r="B14">
        <v>425.5</v>
      </c>
      <c r="C14">
        <v>322.60000000000002</v>
      </c>
      <c r="D14">
        <f t="shared" si="0"/>
        <v>131.8970861748295</v>
      </c>
    </row>
    <row r="15" spans="1:4">
      <c r="A15">
        <v>9</v>
      </c>
      <c r="B15">
        <v>395.9</v>
      </c>
      <c r="C15">
        <v>600</v>
      </c>
      <c r="D15">
        <f t="shared" si="0"/>
        <v>65.98333333333332</v>
      </c>
    </row>
    <row r="16" spans="1:4">
      <c r="A16">
        <v>10</v>
      </c>
      <c r="B16">
        <v>934</v>
      </c>
      <c r="C16">
        <v>1270.2</v>
      </c>
      <c r="D16">
        <f t="shared" si="0"/>
        <v>73.531727287041406</v>
      </c>
    </row>
    <row r="17" spans="1:4">
      <c r="A17">
        <v>11</v>
      </c>
      <c r="B17">
        <v>678.8</v>
      </c>
      <c r="C17">
        <v>960.4</v>
      </c>
      <c r="D17">
        <f t="shared" si="0"/>
        <v>70.678883798417331</v>
      </c>
    </row>
    <row r="18" spans="1:4">
      <c r="A18">
        <v>12</v>
      </c>
      <c r="B18">
        <v>620.1</v>
      </c>
      <c r="C18">
        <v>816.1</v>
      </c>
      <c r="D18">
        <f t="shared" si="0"/>
        <v>75.983335375566725</v>
      </c>
    </row>
    <row r="19" spans="1:4">
      <c r="A19">
        <v>13</v>
      </c>
      <c r="B19">
        <v>663.7</v>
      </c>
      <c r="C19">
        <v>986.2</v>
      </c>
      <c r="D19">
        <f t="shared" si="0"/>
        <v>67.298722368687891</v>
      </c>
    </row>
    <row r="20" spans="1:4">
      <c r="A20">
        <v>14</v>
      </c>
      <c r="B20">
        <v>439.1</v>
      </c>
      <c r="C20">
        <v>608.79999999999995</v>
      </c>
      <c r="D20">
        <f t="shared" si="0"/>
        <v>72.125492772667556</v>
      </c>
    </row>
    <row r="21" spans="1:4">
      <c r="A21">
        <v>15</v>
      </c>
      <c r="B21">
        <v>267.7</v>
      </c>
      <c r="C21">
        <v>431.2</v>
      </c>
      <c r="D21">
        <f t="shared" si="0"/>
        <v>62.082560296846012</v>
      </c>
    </row>
    <row r="22" spans="1:4">
      <c r="A22">
        <v>16</v>
      </c>
      <c r="B22">
        <v>649.6</v>
      </c>
      <c r="C22">
        <v>945.2</v>
      </c>
      <c r="D22">
        <f t="shared" si="0"/>
        <v>68.726195514176894</v>
      </c>
    </row>
    <row r="23" spans="1:4">
      <c r="A23">
        <v>17</v>
      </c>
      <c r="B23">
        <v>347.7</v>
      </c>
      <c r="C23">
        <v>528.20000000000005</v>
      </c>
      <c r="D23">
        <f t="shared" si="0"/>
        <v>65.827338129496397</v>
      </c>
    </row>
    <row r="24" spans="1:4">
      <c r="A24">
        <v>18</v>
      </c>
      <c r="B24">
        <v>498</v>
      </c>
      <c r="C24">
        <v>720</v>
      </c>
      <c r="D24">
        <f t="shared" si="0"/>
        <v>69.166666666666671</v>
      </c>
    </row>
    <row r="25" spans="1:4">
      <c r="A25">
        <v>19</v>
      </c>
      <c r="B25">
        <v>468</v>
      </c>
      <c r="C25">
        <v>974</v>
      </c>
      <c r="D25">
        <f t="shared" si="0"/>
        <v>48.049281314168383</v>
      </c>
    </row>
    <row r="28" spans="1:4">
      <c r="A28" t="s">
        <v>975</v>
      </c>
    </row>
    <row r="30" spans="1:4">
      <c r="A30" t="s">
        <v>970</v>
      </c>
      <c r="B30" t="s">
        <v>976</v>
      </c>
      <c r="C30" t="s">
        <v>978</v>
      </c>
      <c r="D30" t="s">
        <v>977</v>
      </c>
    </row>
    <row r="31" spans="1:4">
      <c r="A31">
        <v>15</v>
      </c>
      <c r="B31">
        <v>48.5</v>
      </c>
      <c r="C31">
        <v>51.5</v>
      </c>
    </row>
    <row r="32" spans="1:4">
      <c r="A32">
        <v>16</v>
      </c>
      <c r="B32">
        <v>50.1</v>
      </c>
      <c r="C32">
        <v>22</v>
      </c>
      <c r="D32">
        <v>27.9</v>
      </c>
    </row>
    <row r="33" spans="1:4">
      <c r="A33">
        <v>17</v>
      </c>
      <c r="B33">
        <v>52.3</v>
      </c>
      <c r="C33">
        <v>33.9</v>
      </c>
      <c r="D33">
        <v>13.8</v>
      </c>
    </row>
    <row r="34" spans="1:4">
      <c r="A34">
        <v>18</v>
      </c>
      <c r="B34">
        <v>51.9</v>
      </c>
      <c r="C34">
        <v>26.4</v>
      </c>
      <c r="D34">
        <v>21.7</v>
      </c>
    </row>
    <row r="35" spans="1:4">
      <c r="A35">
        <v>19</v>
      </c>
      <c r="B35">
        <v>34</v>
      </c>
      <c r="C35">
        <v>27.4</v>
      </c>
      <c r="D35">
        <v>38.6</v>
      </c>
    </row>
    <row r="36" spans="1:4">
      <c r="B36">
        <v>47.4</v>
      </c>
      <c r="C36">
        <v>32.200000000000003</v>
      </c>
      <c r="D36">
        <v>20.399999999999999</v>
      </c>
    </row>
    <row r="39" spans="1:4">
      <c r="A39" t="s">
        <v>979</v>
      </c>
    </row>
    <row r="40" spans="1:4">
      <c r="B40" t="s">
        <v>970</v>
      </c>
    </row>
    <row r="41" spans="1:4">
      <c r="A41" t="s">
        <v>980</v>
      </c>
      <c r="B41">
        <v>15</v>
      </c>
      <c r="C41">
        <v>16</v>
      </c>
      <c r="D41">
        <v>19</v>
      </c>
    </row>
    <row r="42" spans="1:4">
      <c r="A42" s="91" t="s">
        <v>981</v>
      </c>
      <c r="B42">
        <v>22.9</v>
      </c>
      <c r="C42">
        <v>19.2</v>
      </c>
      <c r="D42">
        <v>17.899999999999999</v>
      </c>
    </row>
    <row r="43" spans="1:4">
      <c r="A43" t="s">
        <v>982</v>
      </c>
      <c r="C43">
        <v>17.8</v>
      </c>
      <c r="D43">
        <v>19.600000000000001</v>
      </c>
    </row>
    <row r="44" spans="1:4">
      <c r="A44" t="s">
        <v>993</v>
      </c>
      <c r="B44">
        <v>24</v>
      </c>
      <c r="C44">
        <v>18.8</v>
      </c>
      <c r="D44">
        <v>12.4</v>
      </c>
    </row>
    <row r="45" spans="1:4">
      <c r="A45" t="s">
        <v>983</v>
      </c>
      <c r="C45">
        <v>19.399999999999999</v>
      </c>
      <c r="D45">
        <v>17.3</v>
      </c>
    </row>
    <row r="46" spans="1:4">
      <c r="A46" t="s">
        <v>984</v>
      </c>
      <c r="B46">
        <v>22.4</v>
      </c>
      <c r="C46">
        <v>19.7</v>
      </c>
      <c r="D46">
        <v>12.2</v>
      </c>
    </row>
    <row r="47" spans="1:4">
      <c r="A47" t="s">
        <v>985</v>
      </c>
      <c r="C47">
        <v>20</v>
      </c>
      <c r="D47">
        <v>13.9</v>
      </c>
    </row>
    <row r="48" spans="1:4">
      <c r="A48" t="s">
        <v>986</v>
      </c>
      <c r="B48">
        <v>26.6</v>
      </c>
      <c r="C48">
        <v>18.100000000000001</v>
      </c>
      <c r="D48">
        <v>20.6</v>
      </c>
    </row>
    <row r="49" spans="1:4">
      <c r="A49" t="s">
        <v>994</v>
      </c>
      <c r="C49">
        <v>25.8</v>
      </c>
      <c r="D49">
        <v>16.100000000000001</v>
      </c>
    </row>
    <row r="50" spans="1:4">
      <c r="A50" t="s">
        <v>987</v>
      </c>
      <c r="B50">
        <v>26.8</v>
      </c>
      <c r="C50">
        <v>24</v>
      </c>
      <c r="D50">
        <v>19.2</v>
      </c>
    </row>
    <row r="51" spans="1:4">
      <c r="A51" t="s">
        <v>988</v>
      </c>
      <c r="C51">
        <v>30.4</v>
      </c>
      <c r="D51">
        <v>21.2</v>
      </c>
    </row>
    <row r="52" spans="1:4">
      <c r="A52" t="s">
        <v>989</v>
      </c>
      <c r="C52">
        <v>27.3</v>
      </c>
      <c r="D52">
        <v>27.9</v>
      </c>
    </row>
    <row r="53" spans="1:4">
      <c r="A53" t="s">
        <v>990</v>
      </c>
      <c r="C53">
        <v>38.200000000000003</v>
      </c>
      <c r="D53">
        <v>39.799999999999997</v>
      </c>
    </row>
    <row r="54" spans="1:4">
      <c r="A54" t="s">
        <v>991</v>
      </c>
      <c r="C54">
        <v>38.200000000000003</v>
      </c>
      <c r="D54">
        <v>34.6</v>
      </c>
    </row>
    <row r="55" spans="1:4">
      <c r="A55" t="s">
        <v>992</v>
      </c>
      <c r="C55">
        <v>50</v>
      </c>
    </row>
    <row r="56" spans="1:4">
      <c r="B56">
        <v>24.5</v>
      </c>
      <c r="C56">
        <v>26.2</v>
      </c>
      <c r="D56">
        <v>20.8</v>
      </c>
    </row>
    <row r="59" spans="1:4">
      <c r="A59" t="s">
        <v>995</v>
      </c>
    </row>
    <row r="61" spans="1:4">
      <c r="A61" t="s">
        <v>996</v>
      </c>
      <c r="B61" t="s">
        <v>973</v>
      </c>
    </row>
    <row r="62" spans="1:4">
      <c r="A62" t="s">
        <v>997</v>
      </c>
      <c r="B62">
        <v>46</v>
      </c>
    </row>
    <row r="63" spans="1:4">
      <c r="A63" t="s">
        <v>998</v>
      </c>
      <c r="B63">
        <v>32</v>
      </c>
    </row>
    <row r="64" spans="1:4">
      <c r="A64" t="s">
        <v>999</v>
      </c>
      <c r="B64">
        <v>25</v>
      </c>
    </row>
    <row r="65" spans="1:5">
      <c r="A65" t="s">
        <v>1000</v>
      </c>
      <c r="B65">
        <v>37</v>
      </c>
    </row>
    <row r="68" spans="1:5">
      <c r="A68" t="s">
        <v>1001</v>
      </c>
    </row>
    <row r="70" spans="1:5">
      <c r="B70" t="s">
        <v>1000</v>
      </c>
      <c r="C70" t="s">
        <v>1004</v>
      </c>
      <c r="D70" t="s">
        <v>1005</v>
      </c>
    </row>
    <row r="71" spans="1:5">
      <c r="A71" t="s">
        <v>1002</v>
      </c>
      <c r="B71">
        <v>70</v>
      </c>
      <c r="C71">
        <v>77</v>
      </c>
      <c r="D71">
        <v>23</v>
      </c>
    </row>
    <row r="72" spans="1:5">
      <c r="A72" t="s">
        <v>1003</v>
      </c>
      <c r="B72">
        <v>30</v>
      </c>
      <c r="C72">
        <v>63</v>
      </c>
      <c r="D72">
        <v>37</v>
      </c>
    </row>
    <row r="73" spans="1:5">
      <c r="A73" t="s">
        <v>1000</v>
      </c>
      <c r="B73">
        <v>100</v>
      </c>
      <c r="C73">
        <v>73</v>
      </c>
      <c r="D73">
        <v>27</v>
      </c>
    </row>
    <row r="76" spans="1:5">
      <c r="A76" t="s">
        <v>1006</v>
      </c>
    </row>
    <row r="78" spans="1:5">
      <c r="A78" t="s">
        <v>1007</v>
      </c>
      <c r="D78">
        <v>0.53</v>
      </c>
      <c r="E78" t="s">
        <v>1008</v>
      </c>
    </row>
    <row r="79" spans="1:5">
      <c r="A79" t="s">
        <v>1009</v>
      </c>
      <c r="D79" t="s">
        <v>1010</v>
      </c>
    </row>
    <row r="80" spans="1:5">
      <c r="A80" t="s">
        <v>1005</v>
      </c>
      <c r="D80">
        <v>0.64</v>
      </c>
    </row>
    <row r="81" spans="1:7">
      <c r="A81" t="s">
        <v>1004</v>
      </c>
      <c r="D81" t="s">
        <v>1011</v>
      </c>
    </row>
    <row r="82" spans="1:7">
      <c r="A82" t="s">
        <v>1022</v>
      </c>
    </row>
    <row r="84" spans="1:7">
      <c r="A84" t="s">
        <v>1021</v>
      </c>
      <c r="D84" t="s">
        <v>1018</v>
      </c>
    </row>
    <row r="86" spans="1:7">
      <c r="A86" t="s">
        <v>1012</v>
      </c>
      <c r="B86">
        <v>1</v>
      </c>
      <c r="C86">
        <v>2</v>
      </c>
      <c r="D86">
        <v>3</v>
      </c>
      <c r="E86">
        <v>4</v>
      </c>
      <c r="F86">
        <v>5</v>
      </c>
      <c r="G86" t="s">
        <v>661</v>
      </c>
    </row>
    <row r="87" spans="1:7">
      <c r="A87" t="s">
        <v>1013</v>
      </c>
      <c r="B87" s="91" t="s">
        <v>1019</v>
      </c>
      <c r="C87" s="91" t="s">
        <v>1020</v>
      </c>
      <c r="D87">
        <v>122</v>
      </c>
      <c r="E87">
        <v>128</v>
      </c>
      <c r="F87">
        <v>114</v>
      </c>
      <c r="G87">
        <v>116</v>
      </c>
    </row>
    <row r="88" spans="1:7">
      <c r="A88" t="s">
        <v>1014</v>
      </c>
      <c r="B88">
        <v>118</v>
      </c>
      <c r="C88">
        <v>138</v>
      </c>
      <c r="D88">
        <v>162</v>
      </c>
      <c r="E88">
        <v>136</v>
      </c>
      <c r="G88">
        <v>138.5</v>
      </c>
    </row>
    <row r="89" spans="1:7">
      <c r="A89" t="s">
        <v>1015</v>
      </c>
      <c r="B89">
        <v>145</v>
      </c>
      <c r="C89">
        <v>131</v>
      </c>
      <c r="D89">
        <v>139</v>
      </c>
      <c r="E89">
        <v>138</v>
      </c>
      <c r="G89">
        <v>138</v>
      </c>
    </row>
    <row r="90" spans="1:7">
      <c r="A90" t="s">
        <v>1016</v>
      </c>
      <c r="B90">
        <v>130</v>
      </c>
      <c r="C90">
        <v>118</v>
      </c>
      <c r="D90">
        <v>122</v>
      </c>
      <c r="E90">
        <v>129</v>
      </c>
      <c r="G90">
        <v>125</v>
      </c>
    </row>
    <row r="91" spans="1:7">
      <c r="A91" t="s">
        <v>1017</v>
      </c>
      <c r="B91">
        <v>123</v>
      </c>
      <c r="C91">
        <v>121</v>
      </c>
      <c r="D91">
        <v>126</v>
      </c>
      <c r="G91">
        <v>123</v>
      </c>
    </row>
    <row r="94" spans="1:7">
      <c r="A94" t="s">
        <v>1023</v>
      </c>
    </row>
    <row r="96" spans="1:7">
      <c r="A96" t="s">
        <v>1024</v>
      </c>
    </row>
    <row r="98" spans="1:13">
      <c r="A98" t="s">
        <v>117</v>
      </c>
      <c r="B98" t="s">
        <v>192</v>
      </c>
    </row>
    <row r="99" spans="1:13">
      <c r="A99">
        <v>1</v>
      </c>
      <c r="B99" t="s">
        <v>1028</v>
      </c>
    </row>
    <row r="100" spans="1:13">
      <c r="A100">
        <v>2</v>
      </c>
      <c r="B100" t="s">
        <v>1027</v>
      </c>
    </row>
    <row r="101" spans="1:13">
      <c r="A101">
        <v>3</v>
      </c>
      <c r="B101" t="s">
        <v>1026</v>
      </c>
    </row>
    <row r="102" spans="1:13">
      <c r="A102">
        <v>4</v>
      </c>
      <c r="B102" t="s">
        <v>1025</v>
      </c>
    </row>
    <row r="105" spans="1:13">
      <c r="A105" t="s">
        <v>1029</v>
      </c>
    </row>
    <row r="106" spans="1:13">
      <c r="D106" t="s">
        <v>1032</v>
      </c>
      <c r="I106" t="s">
        <v>1038</v>
      </c>
      <c r="K106" t="s">
        <v>1039</v>
      </c>
    </row>
    <row r="107" spans="1:13">
      <c r="A107" t="s">
        <v>117</v>
      </c>
      <c r="B107" t="s">
        <v>1030</v>
      </c>
      <c r="C107" t="s">
        <v>1031</v>
      </c>
      <c r="D107" t="s">
        <v>1033</v>
      </c>
      <c r="E107" t="s">
        <v>1034</v>
      </c>
      <c r="F107" t="s">
        <v>1035</v>
      </c>
      <c r="G107" t="s">
        <v>1036</v>
      </c>
      <c r="H107" t="s">
        <v>1037</v>
      </c>
      <c r="I107" t="s">
        <v>313</v>
      </c>
      <c r="J107" t="s">
        <v>973</v>
      </c>
      <c r="K107" t="s">
        <v>313</v>
      </c>
      <c r="L107" t="s">
        <v>973</v>
      </c>
      <c r="M107" t="s">
        <v>1040</v>
      </c>
    </row>
    <row r="108" spans="1:13">
      <c r="A108">
        <v>1</v>
      </c>
      <c r="B108">
        <v>984</v>
      </c>
      <c r="C108">
        <v>52063</v>
      </c>
      <c r="D108">
        <v>2</v>
      </c>
      <c r="E108">
        <v>1.35</v>
      </c>
      <c r="F108">
        <v>2.6</v>
      </c>
      <c r="G108">
        <v>176</v>
      </c>
      <c r="H108">
        <v>3.25</v>
      </c>
      <c r="I108">
        <v>108</v>
      </c>
      <c r="J108">
        <v>11</v>
      </c>
      <c r="K108">
        <v>303</v>
      </c>
      <c r="L108">
        <v>31</v>
      </c>
      <c r="M108">
        <v>2.89</v>
      </c>
    </row>
    <row r="109" spans="1:13">
      <c r="A109">
        <v>2</v>
      </c>
      <c r="B109">
        <v>237</v>
      </c>
      <c r="C109">
        <v>14630</v>
      </c>
      <c r="D109">
        <v>1.55</v>
      </c>
      <c r="E109">
        <v>0.82</v>
      </c>
      <c r="F109">
        <v>2</v>
      </c>
      <c r="G109">
        <v>44</v>
      </c>
      <c r="H109">
        <v>2.34</v>
      </c>
      <c r="I109">
        <v>28</v>
      </c>
      <c r="J109">
        <v>12</v>
      </c>
      <c r="K109">
        <v>106</v>
      </c>
      <c r="L109">
        <v>45</v>
      </c>
      <c r="M109">
        <v>0.37</v>
      </c>
    </row>
    <row r="110" spans="1:13">
      <c r="A110">
        <v>3</v>
      </c>
      <c r="B110">
        <v>861</v>
      </c>
      <c r="C110">
        <v>43485</v>
      </c>
      <c r="D110">
        <v>1.6</v>
      </c>
      <c r="E110">
        <v>0.88</v>
      </c>
      <c r="F110">
        <v>2.2000000000000002</v>
      </c>
      <c r="G110">
        <v>183</v>
      </c>
      <c r="H110">
        <v>2.99</v>
      </c>
      <c r="I110">
        <v>112</v>
      </c>
      <c r="J110">
        <v>13</v>
      </c>
      <c r="K110">
        <v>202</v>
      </c>
      <c r="L110">
        <v>23.5</v>
      </c>
      <c r="M110">
        <v>1.25</v>
      </c>
    </row>
    <row r="111" spans="1:13">
      <c r="A111">
        <v>4</v>
      </c>
      <c r="B111">
        <v>661</v>
      </c>
      <c r="C111">
        <v>40802</v>
      </c>
      <c r="D111">
        <v>1.9</v>
      </c>
      <c r="E111">
        <v>1.1599999999999999</v>
      </c>
      <c r="F111">
        <v>2.9</v>
      </c>
      <c r="G111">
        <v>117</v>
      </c>
      <c r="H111">
        <v>3.41</v>
      </c>
      <c r="I111">
        <v>68</v>
      </c>
      <c r="J111">
        <v>10.3</v>
      </c>
      <c r="K111">
        <v>194</v>
      </c>
      <c r="L111">
        <v>29.3</v>
      </c>
      <c r="M111">
        <v>1.98</v>
      </c>
    </row>
    <row r="112" spans="1:13">
      <c r="B112">
        <v>2743</v>
      </c>
      <c r="C112">
        <v>39074</v>
      </c>
      <c r="D112">
        <v>1.81</v>
      </c>
      <c r="E112">
        <v>1.1100000000000001</v>
      </c>
      <c r="F112">
        <v>2.5</v>
      </c>
      <c r="G112">
        <v>520</v>
      </c>
      <c r="H112">
        <v>3.12</v>
      </c>
      <c r="I112">
        <v>316</v>
      </c>
      <c r="J112">
        <v>11.5</v>
      </c>
      <c r="K112">
        <v>805</v>
      </c>
      <c r="L112">
        <v>29.3</v>
      </c>
      <c r="M112">
        <v>1.63</v>
      </c>
    </row>
    <row r="115" spans="1:8">
      <c r="A115" t="s">
        <v>1041</v>
      </c>
    </row>
    <row r="117" spans="1:8">
      <c r="A117" t="s">
        <v>117</v>
      </c>
      <c r="B117" t="s">
        <v>1030</v>
      </c>
      <c r="C117" t="s">
        <v>1038</v>
      </c>
      <c r="D117" t="s">
        <v>1042</v>
      </c>
      <c r="E117" t="s">
        <v>1036</v>
      </c>
      <c r="F117" t="s">
        <v>1043</v>
      </c>
      <c r="G117" t="s">
        <v>1044</v>
      </c>
      <c r="H117" t="s">
        <v>1045</v>
      </c>
    </row>
    <row r="118" spans="1:8">
      <c r="A118">
        <v>1</v>
      </c>
      <c r="B118">
        <v>984</v>
      </c>
      <c r="C118">
        <v>108</v>
      </c>
      <c r="D118">
        <v>876</v>
      </c>
      <c r="E118">
        <v>176</v>
      </c>
      <c r="F118">
        <v>5</v>
      </c>
      <c r="G118">
        <v>26</v>
      </c>
      <c r="H118">
        <v>38</v>
      </c>
    </row>
    <row r="119" spans="1:8">
      <c r="A119">
        <v>2</v>
      </c>
      <c r="B119">
        <v>237</v>
      </c>
      <c r="C119">
        <v>28</v>
      </c>
      <c r="D119">
        <v>209</v>
      </c>
      <c r="E119">
        <v>44</v>
      </c>
      <c r="F119">
        <v>5</v>
      </c>
      <c r="G119">
        <v>22</v>
      </c>
      <c r="H119">
        <v>11</v>
      </c>
    </row>
    <row r="120" spans="1:8">
      <c r="A120">
        <v>3</v>
      </c>
      <c r="B120">
        <v>861</v>
      </c>
      <c r="C120">
        <v>112</v>
      </c>
      <c r="D120">
        <v>749</v>
      </c>
      <c r="E120">
        <v>183</v>
      </c>
      <c r="F120">
        <v>4</v>
      </c>
      <c r="G120">
        <v>36</v>
      </c>
      <c r="H120">
        <v>24</v>
      </c>
    </row>
    <row r="121" spans="1:8">
      <c r="A121">
        <v>4</v>
      </c>
      <c r="B121">
        <v>661</v>
      </c>
      <c r="C121">
        <v>68</v>
      </c>
      <c r="D121">
        <v>593</v>
      </c>
      <c r="E121">
        <v>117</v>
      </c>
      <c r="F121">
        <v>5</v>
      </c>
      <c r="G121">
        <v>23</v>
      </c>
      <c r="H121">
        <v>29</v>
      </c>
    </row>
    <row r="122" spans="1:8">
      <c r="C122">
        <v>316</v>
      </c>
    </row>
    <row r="125" spans="1:8">
      <c r="A125" t="s">
        <v>1046</v>
      </c>
    </row>
    <row r="128" spans="1:8">
      <c r="A128" t="s">
        <v>1047</v>
      </c>
      <c r="B128" t="s">
        <v>1048</v>
      </c>
    </row>
    <row r="129" spans="1:2">
      <c r="A129">
        <v>2</v>
      </c>
      <c r="B129">
        <v>29</v>
      </c>
    </row>
    <row r="130" spans="1:2">
      <c r="A130">
        <v>3</v>
      </c>
      <c r="B130">
        <v>22.5</v>
      </c>
    </row>
    <row r="131" spans="1:2">
      <c r="A131">
        <v>4</v>
      </c>
      <c r="B131">
        <v>13</v>
      </c>
    </row>
    <row r="132" spans="1:2">
      <c r="A132">
        <v>5</v>
      </c>
      <c r="B132">
        <v>10</v>
      </c>
    </row>
    <row r="133" spans="1:2">
      <c r="A133">
        <v>6</v>
      </c>
      <c r="B133">
        <v>5.5</v>
      </c>
    </row>
    <row r="134" spans="1:2">
      <c r="A134">
        <v>7</v>
      </c>
      <c r="B134">
        <v>5.5</v>
      </c>
    </row>
    <row r="135" spans="1:2">
      <c r="A135">
        <v>8</v>
      </c>
      <c r="B135">
        <v>3</v>
      </c>
    </row>
    <row r="136" spans="1:2">
      <c r="A136">
        <v>9</v>
      </c>
      <c r="B136">
        <v>2</v>
      </c>
    </row>
    <row r="137" spans="1:2">
      <c r="A137">
        <v>10</v>
      </c>
      <c r="B137">
        <v>1.5</v>
      </c>
    </row>
    <row r="138" spans="1:2">
      <c r="A138">
        <v>11</v>
      </c>
      <c r="B138">
        <v>2</v>
      </c>
    </row>
    <row r="139" spans="1:2">
      <c r="A139">
        <v>12</v>
      </c>
      <c r="B139">
        <v>1.5</v>
      </c>
    </row>
    <row r="140" spans="1:2">
      <c r="A140">
        <v>13</v>
      </c>
      <c r="B140">
        <v>1.2</v>
      </c>
    </row>
    <row r="141" spans="1:2">
      <c r="A141">
        <v>14</v>
      </c>
      <c r="B141">
        <v>0.5</v>
      </c>
    </row>
    <row r="142" spans="1:2">
      <c r="A142">
        <v>15</v>
      </c>
      <c r="B142">
        <v>0.3</v>
      </c>
    </row>
    <row r="143" spans="1:2">
      <c r="A143" t="s">
        <v>1049</v>
      </c>
      <c r="B143">
        <v>2.5</v>
      </c>
    </row>
    <row r="146" spans="1:6">
      <c r="A146" t="s">
        <v>1050</v>
      </c>
    </row>
    <row r="147" spans="1:6">
      <c r="B147" t="s">
        <v>1051</v>
      </c>
      <c r="D147" t="s">
        <v>1054</v>
      </c>
    </row>
    <row r="148" spans="1:6">
      <c r="A148" t="s">
        <v>117</v>
      </c>
      <c r="B148" t="s">
        <v>1052</v>
      </c>
      <c r="C148" t="s">
        <v>1053</v>
      </c>
      <c r="D148" t="s">
        <v>1052</v>
      </c>
      <c r="E148" t="s">
        <v>1053</v>
      </c>
      <c r="F148" t="s">
        <v>1000</v>
      </c>
    </row>
    <row r="149" spans="1:6">
      <c r="A149">
        <v>1</v>
      </c>
      <c r="B149">
        <v>10</v>
      </c>
      <c r="C149">
        <v>90</v>
      </c>
      <c r="D149">
        <v>11</v>
      </c>
      <c r="E149">
        <v>33</v>
      </c>
      <c r="F149">
        <v>29.6</v>
      </c>
    </row>
    <row r="150" spans="1:6">
      <c r="A150">
        <v>2</v>
      </c>
      <c r="B150">
        <v>12</v>
      </c>
      <c r="C150">
        <v>88</v>
      </c>
      <c r="D150">
        <v>12.2</v>
      </c>
      <c r="E150">
        <v>40.5</v>
      </c>
      <c r="F150">
        <v>38.200000000000003</v>
      </c>
    </row>
    <row r="151" spans="1:6">
      <c r="A151">
        <v>3</v>
      </c>
      <c r="B151">
        <v>13</v>
      </c>
      <c r="C151">
        <v>87</v>
      </c>
      <c r="D151">
        <v>19.5</v>
      </c>
      <c r="E151">
        <v>23.5</v>
      </c>
      <c r="F151">
        <v>23.2</v>
      </c>
    </row>
    <row r="152" spans="1:6">
      <c r="A152">
        <v>4</v>
      </c>
      <c r="B152">
        <v>10</v>
      </c>
      <c r="C152">
        <v>90</v>
      </c>
      <c r="D152">
        <v>13</v>
      </c>
      <c r="E152">
        <v>31</v>
      </c>
      <c r="F152">
        <v>29.5</v>
      </c>
    </row>
    <row r="153" spans="1:6">
      <c r="B153">
        <v>11.5</v>
      </c>
      <c r="C153">
        <v>88.5</v>
      </c>
      <c r="D153">
        <v>15.5</v>
      </c>
      <c r="E153">
        <v>31.1</v>
      </c>
      <c r="F153">
        <v>29.3</v>
      </c>
    </row>
    <row r="157" spans="1:6">
      <c r="A157" t="s">
        <v>1055</v>
      </c>
    </row>
    <row r="159" spans="1:6">
      <c r="B159" t="s">
        <v>1056</v>
      </c>
      <c r="C159" t="s">
        <v>1059</v>
      </c>
      <c r="E159" t="s">
        <v>1058</v>
      </c>
    </row>
    <row r="160" spans="1:6">
      <c r="A160" t="s">
        <v>117</v>
      </c>
      <c r="B160" t="s">
        <v>18</v>
      </c>
      <c r="C160" t="s">
        <v>20</v>
      </c>
      <c r="D160" t="s">
        <v>1057</v>
      </c>
      <c r="E160" t="s">
        <v>18</v>
      </c>
      <c r="F160" t="s">
        <v>20</v>
      </c>
    </row>
    <row r="161" spans="1:13">
      <c r="A161">
        <v>1</v>
      </c>
      <c r="B161">
        <v>2.1</v>
      </c>
      <c r="C161">
        <v>3</v>
      </c>
      <c r="D161">
        <v>2.6</v>
      </c>
      <c r="E161">
        <v>0.4</v>
      </c>
      <c r="F161">
        <v>5.8</v>
      </c>
    </row>
    <row r="162" spans="1:13">
      <c r="A162">
        <v>2</v>
      </c>
      <c r="B162">
        <v>1.4</v>
      </c>
      <c r="C162">
        <v>2.4</v>
      </c>
      <c r="D162">
        <v>2</v>
      </c>
      <c r="E162">
        <v>0.6</v>
      </c>
      <c r="F162">
        <v>4.8</v>
      </c>
    </row>
    <row r="163" spans="1:13">
      <c r="A163">
        <v>3</v>
      </c>
      <c r="B163">
        <v>1</v>
      </c>
      <c r="C163">
        <v>3.8</v>
      </c>
      <c r="D163">
        <v>2.2000000000000002</v>
      </c>
      <c r="E163">
        <v>0.5</v>
      </c>
      <c r="F163">
        <v>7</v>
      </c>
    </row>
    <row r="164" spans="1:13">
      <c r="A164">
        <v>4</v>
      </c>
      <c r="B164">
        <v>1.6</v>
      </c>
      <c r="C164">
        <v>3.7</v>
      </c>
      <c r="D164">
        <v>2.9</v>
      </c>
      <c r="E164">
        <v>0.7</v>
      </c>
      <c r="F164">
        <v>6.4</v>
      </c>
    </row>
    <row r="167" spans="1:13">
      <c r="A167" t="s">
        <v>1064</v>
      </c>
    </row>
    <row r="169" spans="1:13">
      <c r="B169" s="59"/>
      <c r="C169" t="s">
        <v>1060</v>
      </c>
      <c r="E169" s="59"/>
      <c r="F169" t="s">
        <v>1061</v>
      </c>
      <c r="H169" s="59"/>
      <c r="I169" t="s">
        <v>1062</v>
      </c>
      <c r="K169" s="59"/>
      <c r="L169" t="s">
        <v>1063</v>
      </c>
    </row>
    <row r="170" spans="1:13">
      <c r="A170" s="47" t="s">
        <v>117</v>
      </c>
      <c r="B170" s="61" t="s">
        <v>18</v>
      </c>
      <c r="C170" s="47" t="s">
        <v>20</v>
      </c>
      <c r="D170" s="47" t="s">
        <v>1057</v>
      </c>
      <c r="E170" s="61" t="s">
        <v>18</v>
      </c>
      <c r="F170" s="47" t="s">
        <v>20</v>
      </c>
      <c r="G170" s="47" t="s">
        <v>1057</v>
      </c>
      <c r="H170" s="61" t="s">
        <v>18</v>
      </c>
      <c r="I170" s="47" t="s">
        <v>20</v>
      </c>
      <c r="J170" s="47" t="s">
        <v>1057</v>
      </c>
      <c r="K170" s="61" t="s">
        <v>18</v>
      </c>
      <c r="L170" s="47" t="s">
        <v>20</v>
      </c>
      <c r="M170" s="47" t="s">
        <v>1057</v>
      </c>
    </row>
    <row r="171" spans="1:13">
      <c r="A171">
        <v>1</v>
      </c>
      <c r="B171" s="59">
        <v>0.12</v>
      </c>
      <c r="C171">
        <v>1.74</v>
      </c>
      <c r="D171">
        <v>0.78</v>
      </c>
      <c r="E171" s="59">
        <v>0.11</v>
      </c>
      <c r="F171">
        <v>1.57</v>
      </c>
      <c r="G171">
        <v>0.7</v>
      </c>
      <c r="H171" s="59">
        <v>0.09</v>
      </c>
      <c r="I171">
        <v>1.28</v>
      </c>
      <c r="J171">
        <v>0.56999999999999995</v>
      </c>
      <c r="K171" s="59">
        <v>0.09</v>
      </c>
      <c r="L171">
        <v>1.28</v>
      </c>
      <c r="M171">
        <v>0.56999999999999995</v>
      </c>
    </row>
    <row r="172" spans="1:13">
      <c r="A172">
        <v>2</v>
      </c>
      <c r="B172" s="59">
        <v>0.18</v>
      </c>
      <c r="C172">
        <v>1.44</v>
      </c>
      <c r="D172">
        <v>0.6</v>
      </c>
      <c r="E172" s="59">
        <v>0.16</v>
      </c>
      <c r="F172">
        <v>1.3</v>
      </c>
      <c r="G172">
        <v>0.54</v>
      </c>
      <c r="H172" s="59">
        <v>0.13</v>
      </c>
      <c r="I172">
        <v>1.06</v>
      </c>
      <c r="J172">
        <v>0.44</v>
      </c>
      <c r="K172" s="59">
        <v>0.13</v>
      </c>
      <c r="L172">
        <v>1.06</v>
      </c>
      <c r="M172">
        <v>0.44</v>
      </c>
    </row>
    <row r="173" spans="1:13">
      <c r="A173">
        <v>3</v>
      </c>
      <c r="B173" s="59">
        <v>0.15</v>
      </c>
      <c r="C173">
        <v>2.1</v>
      </c>
      <c r="D173">
        <v>0.66</v>
      </c>
      <c r="E173" s="59">
        <v>0.14000000000000001</v>
      </c>
      <c r="F173">
        <v>1.89</v>
      </c>
      <c r="G173">
        <v>0.59</v>
      </c>
      <c r="H173" s="59">
        <v>0.11</v>
      </c>
      <c r="I173">
        <v>1.54</v>
      </c>
      <c r="J173">
        <v>0.48</v>
      </c>
      <c r="K173" s="59">
        <v>0.11</v>
      </c>
      <c r="L173">
        <v>1.54</v>
      </c>
      <c r="M173">
        <v>0.48</v>
      </c>
    </row>
    <row r="174" spans="1:13">
      <c r="A174" s="47">
        <v>4</v>
      </c>
      <c r="B174" s="61">
        <v>0.21</v>
      </c>
      <c r="C174" s="47">
        <v>1.92</v>
      </c>
      <c r="D174" s="47">
        <v>0.87</v>
      </c>
      <c r="E174" s="61">
        <v>0.19</v>
      </c>
      <c r="F174" s="47">
        <v>1.73</v>
      </c>
      <c r="G174" s="47">
        <v>0.78</v>
      </c>
      <c r="H174" s="61">
        <v>0.15</v>
      </c>
      <c r="I174" s="47">
        <v>1.41</v>
      </c>
      <c r="J174" s="47">
        <v>0.64</v>
      </c>
      <c r="K174" s="61">
        <v>0.15</v>
      </c>
      <c r="L174" s="47">
        <v>1.41</v>
      </c>
      <c r="M174" s="47">
        <v>0.64</v>
      </c>
    </row>
    <row r="175" spans="1:13">
      <c r="B175" s="59">
        <v>0.12</v>
      </c>
      <c r="C175">
        <v>2.1</v>
      </c>
      <c r="D175">
        <v>0.73</v>
      </c>
      <c r="E175" s="59">
        <v>0.11</v>
      </c>
      <c r="F175">
        <v>1.89</v>
      </c>
      <c r="G175">
        <v>0.65</v>
      </c>
      <c r="H175" s="59">
        <v>0.09</v>
      </c>
      <c r="I175">
        <v>1.54</v>
      </c>
      <c r="J175">
        <v>0.53</v>
      </c>
      <c r="K175" s="59">
        <v>0.09</v>
      </c>
      <c r="L175">
        <v>1.54</v>
      </c>
      <c r="M175">
        <v>0.53</v>
      </c>
    </row>
    <row r="179" spans="1:13">
      <c r="A179" t="s">
        <v>1065</v>
      </c>
    </row>
    <row r="181" spans="1:13">
      <c r="B181" t="s">
        <v>1056</v>
      </c>
      <c r="C181" t="s">
        <v>1059</v>
      </c>
      <c r="E181" t="s">
        <v>1058</v>
      </c>
    </row>
    <row r="182" spans="1:13">
      <c r="A182" t="s">
        <v>117</v>
      </c>
      <c r="B182" t="s">
        <v>18</v>
      </c>
      <c r="C182" t="s">
        <v>20</v>
      </c>
      <c r="D182" t="s">
        <v>1057</v>
      </c>
      <c r="E182" t="s">
        <v>18</v>
      </c>
      <c r="F182" t="s">
        <v>20</v>
      </c>
    </row>
    <row r="183" spans="1:13">
      <c r="A183">
        <v>1</v>
      </c>
      <c r="B183">
        <v>0.8</v>
      </c>
      <c r="C183">
        <v>2.1</v>
      </c>
      <c r="D183">
        <v>1.35</v>
      </c>
      <c r="E183">
        <v>0</v>
      </c>
      <c r="F183">
        <v>4.8</v>
      </c>
    </row>
    <row r="184" spans="1:13">
      <c r="A184">
        <v>2</v>
      </c>
      <c r="B184">
        <v>0.35</v>
      </c>
      <c r="C184">
        <v>1.4</v>
      </c>
      <c r="D184">
        <v>0.82</v>
      </c>
      <c r="E184">
        <v>0</v>
      </c>
      <c r="F184">
        <v>3</v>
      </c>
    </row>
    <row r="185" spans="1:13">
      <c r="A185">
        <v>3</v>
      </c>
      <c r="B185">
        <v>0.4</v>
      </c>
      <c r="C185">
        <v>1.8</v>
      </c>
      <c r="D185">
        <v>0.88</v>
      </c>
      <c r="E185">
        <v>0</v>
      </c>
      <c r="F185">
        <v>5.4</v>
      </c>
    </row>
    <row r="186" spans="1:13">
      <c r="A186">
        <v>4</v>
      </c>
      <c r="B186">
        <v>0.38</v>
      </c>
      <c r="C186">
        <v>1.8</v>
      </c>
      <c r="D186">
        <v>1.1599999999999999</v>
      </c>
      <c r="E186">
        <v>0</v>
      </c>
      <c r="F186">
        <v>5</v>
      </c>
    </row>
    <row r="189" spans="1:13">
      <c r="A189" t="s">
        <v>1066</v>
      </c>
    </row>
    <row r="191" spans="1:13">
      <c r="B191" s="59"/>
      <c r="C191" t="s">
        <v>1060</v>
      </c>
      <c r="E191" s="59"/>
      <c r="F191" t="s">
        <v>1061</v>
      </c>
      <c r="H191" s="59"/>
      <c r="I191" t="s">
        <v>1062</v>
      </c>
      <c r="K191" s="59"/>
      <c r="L191" t="s">
        <v>1063</v>
      </c>
    </row>
    <row r="192" spans="1:13">
      <c r="A192" s="47" t="s">
        <v>117</v>
      </c>
      <c r="B192" s="61" t="s">
        <v>18</v>
      </c>
      <c r="C192" s="47" t="s">
        <v>20</v>
      </c>
      <c r="D192" s="47" t="s">
        <v>1057</v>
      </c>
      <c r="E192" s="61" t="s">
        <v>18</v>
      </c>
      <c r="F192" s="47" t="s">
        <v>20</v>
      </c>
      <c r="G192" s="47" t="s">
        <v>1057</v>
      </c>
      <c r="H192" s="61" t="s">
        <v>18</v>
      </c>
      <c r="I192" s="47" t="s">
        <v>20</v>
      </c>
      <c r="J192" s="47" t="s">
        <v>1057</v>
      </c>
      <c r="K192" s="61" t="s">
        <v>18</v>
      </c>
      <c r="L192" s="47" t="s">
        <v>20</v>
      </c>
      <c r="M192" s="47" t="s">
        <v>1057</v>
      </c>
    </row>
    <row r="193" spans="1:13">
      <c r="A193">
        <v>1</v>
      </c>
      <c r="B193" s="59">
        <v>0</v>
      </c>
      <c r="C193">
        <v>0.48</v>
      </c>
      <c r="D193">
        <v>0.14000000000000001</v>
      </c>
      <c r="E193" s="59">
        <v>0</v>
      </c>
      <c r="F193" s="50">
        <v>1.3</v>
      </c>
      <c r="G193" s="50">
        <v>0.38</v>
      </c>
      <c r="H193" s="59">
        <v>0</v>
      </c>
      <c r="I193" s="50">
        <v>1.6</v>
      </c>
      <c r="J193" s="50">
        <v>0.45</v>
      </c>
      <c r="K193" s="59">
        <v>0</v>
      </c>
      <c r="L193" s="50">
        <v>1.39</v>
      </c>
      <c r="M193" s="50">
        <v>0.39</v>
      </c>
    </row>
    <row r="194" spans="1:13">
      <c r="A194">
        <v>2</v>
      </c>
      <c r="B194" s="59">
        <v>0</v>
      </c>
      <c r="C194">
        <v>0.3</v>
      </c>
      <c r="D194">
        <v>0.08</v>
      </c>
      <c r="E194" s="59">
        <v>0</v>
      </c>
      <c r="F194" s="50">
        <v>0.84</v>
      </c>
      <c r="G194" s="50">
        <v>0.23</v>
      </c>
      <c r="H194" s="59">
        <v>0</v>
      </c>
      <c r="I194" s="50">
        <v>0.99</v>
      </c>
      <c r="J194" s="50">
        <v>0.27</v>
      </c>
      <c r="K194" s="59">
        <v>0</v>
      </c>
      <c r="L194" s="50">
        <v>0.87</v>
      </c>
      <c r="M194" s="50">
        <v>0.24</v>
      </c>
    </row>
    <row r="195" spans="1:13">
      <c r="A195">
        <v>3</v>
      </c>
      <c r="B195" s="59">
        <v>0</v>
      </c>
      <c r="C195">
        <v>0.54</v>
      </c>
      <c r="D195">
        <v>0.09</v>
      </c>
      <c r="E195" s="59">
        <v>0</v>
      </c>
      <c r="F195" s="50">
        <v>1.5</v>
      </c>
      <c r="G195" s="50">
        <v>0.25</v>
      </c>
      <c r="H195" s="59">
        <v>0</v>
      </c>
      <c r="I195" s="50">
        <v>1.78</v>
      </c>
      <c r="J195" s="50">
        <v>0.28999999999999998</v>
      </c>
      <c r="K195" s="59">
        <v>0</v>
      </c>
      <c r="L195" s="50">
        <v>1.57</v>
      </c>
      <c r="M195" s="46">
        <v>0.26</v>
      </c>
    </row>
    <row r="196" spans="1:13">
      <c r="A196" s="47">
        <v>4</v>
      </c>
      <c r="B196" s="61">
        <v>0</v>
      </c>
      <c r="C196" s="47">
        <v>0.5</v>
      </c>
      <c r="D196" s="47">
        <v>0.12</v>
      </c>
      <c r="E196" s="61">
        <v>0</v>
      </c>
      <c r="F196" s="47">
        <v>1.4</v>
      </c>
      <c r="G196" s="47">
        <v>0.32</v>
      </c>
      <c r="H196" s="61">
        <v>0</v>
      </c>
      <c r="I196" s="47">
        <v>1.65</v>
      </c>
      <c r="J196" s="47">
        <v>0.38</v>
      </c>
      <c r="K196" s="61">
        <v>0</v>
      </c>
      <c r="L196" s="47">
        <v>1.45</v>
      </c>
      <c r="M196" s="51">
        <v>0.34</v>
      </c>
    </row>
    <row r="197" spans="1:13">
      <c r="B197" s="59">
        <v>0</v>
      </c>
      <c r="C197">
        <v>0.54</v>
      </c>
      <c r="D197" s="50">
        <v>0.11</v>
      </c>
      <c r="E197" s="59">
        <v>0</v>
      </c>
      <c r="F197" s="50">
        <v>1.5</v>
      </c>
      <c r="G197" s="50">
        <v>0.3</v>
      </c>
      <c r="H197" s="59">
        <v>0</v>
      </c>
      <c r="I197" s="50">
        <v>1.78</v>
      </c>
      <c r="J197" s="50">
        <v>0.35</v>
      </c>
      <c r="K197" s="59">
        <v>0</v>
      </c>
      <c r="L197" s="50">
        <v>0.157</v>
      </c>
      <c r="M197" s="50">
        <v>0.31</v>
      </c>
    </row>
    <row r="200" spans="1:13">
      <c r="A200" t="s">
        <v>1067</v>
      </c>
      <c r="D200" t="s">
        <v>1070</v>
      </c>
    </row>
    <row r="202" spans="1:13">
      <c r="A202" t="s">
        <v>117</v>
      </c>
      <c r="B202" t="s">
        <v>1031</v>
      </c>
      <c r="C202" t="s">
        <v>1209</v>
      </c>
      <c r="D202" t="s">
        <v>1068</v>
      </c>
      <c r="E202" t="s">
        <v>695</v>
      </c>
      <c r="F202" t="s">
        <v>1069</v>
      </c>
    </row>
    <row r="203" spans="1:13">
      <c r="A203">
        <v>1</v>
      </c>
      <c r="B203">
        <v>35500</v>
      </c>
      <c r="C203">
        <v>2.6</v>
      </c>
      <c r="D203">
        <v>4.9000000000000004</v>
      </c>
      <c r="E203">
        <v>1.35</v>
      </c>
      <c r="F203">
        <v>29.6</v>
      </c>
      <c r="G203">
        <f>C203/(SQRT(10000/B203))</f>
        <v>4.8987753571683612</v>
      </c>
    </row>
    <row r="204" spans="1:13">
      <c r="A204">
        <v>2</v>
      </c>
      <c r="B204">
        <v>8100</v>
      </c>
      <c r="C204">
        <v>2</v>
      </c>
      <c r="D204">
        <v>1.8</v>
      </c>
      <c r="E204">
        <v>0.8</v>
      </c>
      <c r="F204">
        <v>38.200000000000003</v>
      </c>
      <c r="G204">
        <f>C204/(SQRT(10000/B204))</f>
        <v>1.7999999999999998</v>
      </c>
    </row>
    <row r="205" spans="1:13">
      <c r="A205">
        <v>3</v>
      </c>
      <c r="B205">
        <v>33300</v>
      </c>
      <c r="C205">
        <v>2.2000000000000002</v>
      </c>
      <c r="D205">
        <v>4</v>
      </c>
      <c r="E205">
        <v>0.88</v>
      </c>
      <c r="F205">
        <v>23.2</v>
      </c>
      <c r="G205">
        <f>C205/(SQRT(10000/B205))</f>
        <v>4.0146232699968252</v>
      </c>
    </row>
    <row r="206" spans="1:13">
      <c r="A206">
        <v>4</v>
      </c>
      <c r="B206">
        <v>28900</v>
      </c>
      <c r="C206">
        <v>2.9</v>
      </c>
      <c r="D206">
        <v>4.9000000000000004</v>
      </c>
      <c r="E206">
        <v>1.1599999999999999</v>
      </c>
      <c r="F206">
        <v>29.5</v>
      </c>
      <c r="G206">
        <f>C206/(SQRT(10000/B206))</f>
        <v>4.93</v>
      </c>
    </row>
    <row r="210" spans="1:1">
      <c r="A210" t="s">
        <v>1071</v>
      </c>
    </row>
    <row r="212" spans="1:1">
      <c r="A212" t="s">
        <v>1072</v>
      </c>
    </row>
    <row r="213" spans="1:1">
      <c r="A213" t="s">
        <v>1073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opLeftCell="A59" workbookViewId="0">
      <selection activeCell="F66" sqref="F66"/>
    </sheetView>
  </sheetViews>
  <sheetFormatPr baseColWidth="10" defaultRowHeight="12.75"/>
  <sheetData>
    <row r="1" spans="1:5">
      <c r="A1" t="s">
        <v>1220</v>
      </c>
    </row>
    <row r="2" spans="1:5">
      <c r="D2" t="s">
        <v>1226</v>
      </c>
    </row>
    <row r="3" spans="1:5">
      <c r="A3" t="s">
        <v>1221</v>
      </c>
      <c r="B3" t="s">
        <v>1222</v>
      </c>
      <c r="D3" t="s">
        <v>1179</v>
      </c>
      <c r="E3" t="s">
        <v>1227</v>
      </c>
    </row>
    <row r="4" spans="1:5">
      <c r="A4">
        <v>2</v>
      </c>
      <c r="B4">
        <v>5</v>
      </c>
      <c r="D4">
        <f t="shared" ref="D4:D9" si="0">A4*2.54</f>
        <v>5.08</v>
      </c>
      <c r="E4">
        <f t="shared" ref="E4:E9" si="1">(B4*30.48)/100</f>
        <v>1.524</v>
      </c>
    </row>
    <row r="5" spans="1:5">
      <c r="A5">
        <v>5</v>
      </c>
      <c r="B5">
        <v>7</v>
      </c>
      <c r="D5">
        <f t="shared" si="0"/>
        <v>12.7</v>
      </c>
      <c r="E5">
        <f t="shared" si="1"/>
        <v>2.1335999999999999</v>
      </c>
    </row>
    <row r="6" spans="1:5">
      <c r="A6">
        <v>7</v>
      </c>
      <c r="B6">
        <v>9</v>
      </c>
      <c r="D6">
        <f t="shared" si="0"/>
        <v>17.78</v>
      </c>
      <c r="E6">
        <f t="shared" si="1"/>
        <v>2.7431999999999999</v>
      </c>
    </row>
    <row r="7" spans="1:5">
      <c r="A7">
        <v>12</v>
      </c>
      <c r="B7">
        <v>12</v>
      </c>
      <c r="D7">
        <f t="shared" si="0"/>
        <v>30.48</v>
      </c>
      <c r="E7">
        <f t="shared" si="1"/>
        <v>3.6576</v>
      </c>
    </row>
    <row r="8" spans="1:5">
      <c r="A8">
        <v>13</v>
      </c>
      <c r="B8">
        <v>13</v>
      </c>
      <c r="D8">
        <f t="shared" si="0"/>
        <v>33.020000000000003</v>
      </c>
      <c r="E8">
        <f t="shared" si="1"/>
        <v>3.9624000000000001</v>
      </c>
    </row>
    <row r="9" spans="1:5">
      <c r="A9">
        <v>18</v>
      </c>
      <c r="B9">
        <v>14</v>
      </c>
      <c r="D9">
        <f t="shared" si="0"/>
        <v>45.72</v>
      </c>
      <c r="E9">
        <f t="shared" si="1"/>
        <v>4.2671999999999999</v>
      </c>
    </row>
    <row r="10" spans="1:5">
      <c r="A10" t="s">
        <v>1223</v>
      </c>
      <c r="B10" t="s">
        <v>1224</v>
      </c>
    </row>
    <row r="13" spans="1:5">
      <c r="A13" t="s">
        <v>1225</v>
      </c>
    </row>
    <row r="34" spans="1:5">
      <c r="A34" t="s">
        <v>1148</v>
      </c>
    </row>
    <row r="35" spans="1:5">
      <c r="A35" t="s">
        <v>1149</v>
      </c>
      <c r="B35" t="s">
        <v>1150</v>
      </c>
      <c r="C35" t="s">
        <v>1151</v>
      </c>
      <c r="D35" t="s">
        <v>1152</v>
      </c>
      <c r="E35" t="s">
        <v>1153</v>
      </c>
    </row>
    <row r="36" spans="1:5">
      <c r="A36">
        <v>2.5</v>
      </c>
      <c r="E36">
        <f>A36*2*0.13952675</f>
        <v>0.69763375000000005</v>
      </c>
    </row>
    <row r="37" spans="1:5">
      <c r="A37">
        <v>5</v>
      </c>
      <c r="D37">
        <v>1.524</v>
      </c>
      <c r="E37">
        <f t="shared" ref="E37:E55" si="2">A37*2*0.13952675</f>
        <v>1.3952675000000001</v>
      </c>
    </row>
    <row r="38" spans="1:5">
      <c r="A38">
        <v>7.5</v>
      </c>
      <c r="E38">
        <f t="shared" si="2"/>
        <v>2.0929012500000002</v>
      </c>
    </row>
    <row r="39" spans="1:5">
      <c r="A39">
        <v>10</v>
      </c>
      <c r="E39">
        <f t="shared" si="2"/>
        <v>2.7905350000000002</v>
      </c>
    </row>
    <row r="40" spans="1:5">
      <c r="A40">
        <v>12.5</v>
      </c>
      <c r="B40">
        <f>(4.6305+1.2798*(A40/2.54))*0.3048</f>
        <v>3.3310764000000006</v>
      </c>
      <c r="C40">
        <f>(2.5515+1.2029*(A40/2.54))*0.3048</f>
        <v>2.5820472000000003</v>
      </c>
      <c r="D40">
        <v>2.1335999999999999</v>
      </c>
      <c r="E40">
        <f t="shared" si="2"/>
        <v>3.4881687500000003</v>
      </c>
    </row>
    <row r="41" spans="1:5">
      <c r="A41">
        <v>15</v>
      </c>
      <c r="B41">
        <f t="shared" ref="B41:B55" si="3">(4.6305+1.2798*(A41/2.54))*0.3048</f>
        <v>3.7150164000000001</v>
      </c>
      <c r="C41">
        <f t="shared" ref="C41:C55" si="4">(2.5515+1.2029*(A41/2.54))*0.3048</f>
        <v>2.9429172000000006</v>
      </c>
      <c r="E41">
        <f t="shared" si="2"/>
        <v>4.1858025000000003</v>
      </c>
    </row>
    <row r="42" spans="1:5">
      <c r="A42">
        <v>17.5</v>
      </c>
      <c r="B42">
        <f t="shared" si="3"/>
        <v>4.0989564000000005</v>
      </c>
      <c r="C42">
        <f t="shared" si="4"/>
        <v>3.3037872000000004</v>
      </c>
      <c r="D42">
        <v>2.7431999999999999</v>
      </c>
      <c r="E42">
        <f t="shared" si="2"/>
        <v>4.8834362499999999</v>
      </c>
    </row>
    <row r="43" spans="1:5">
      <c r="A43">
        <v>20</v>
      </c>
      <c r="B43">
        <f t="shared" si="3"/>
        <v>4.4828964000000004</v>
      </c>
      <c r="C43">
        <f t="shared" si="4"/>
        <v>3.6646572000000011</v>
      </c>
      <c r="E43">
        <f t="shared" si="2"/>
        <v>5.5810700000000004</v>
      </c>
    </row>
    <row r="44" spans="1:5">
      <c r="A44">
        <v>22.5</v>
      </c>
      <c r="B44">
        <f t="shared" si="3"/>
        <v>4.8668364000000004</v>
      </c>
      <c r="C44">
        <f t="shared" si="4"/>
        <v>4.0255272</v>
      </c>
      <c r="E44">
        <f t="shared" si="2"/>
        <v>6.27870375</v>
      </c>
    </row>
    <row r="45" spans="1:5">
      <c r="A45">
        <v>25</v>
      </c>
      <c r="B45">
        <f t="shared" si="3"/>
        <v>5.2507764000000003</v>
      </c>
      <c r="C45">
        <f t="shared" si="4"/>
        <v>4.3863972000000011</v>
      </c>
      <c r="E45">
        <f t="shared" si="2"/>
        <v>6.9763375000000005</v>
      </c>
    </row>
    <row r="46" spans="1:5">
      <c r="A46">
        <v>27.5</v>
      </c>
      <c r="B46">
        <f t="shared" si="3"/>
        <v>5.6347164000000003</v>
      </c>
      <c r="C46">
        <f t="shared" si="4"/>
        <v>4.7472672000000005</v>
      </c>
      <c r="E46">
        <f t="shared" si="2"/>
        <v>7.6739712500000001</v>
      </c>
    </row>
    <row r="47" spans="1:5">
      <c r="A47">
        <v>30</v>
      </c>
      <c r="B47">
        <f t="shared" si="3"/>
        <v>6.0186564000000011</v>
      </c>
      <c r="C47">
        <f t="shared" si="4"/>
        <v>5.1081372000000007</v>
      </c>
      <c r="D47">
        <v>3.6576</v>
      </c>
      <c r="E47">
        <f t="shared" si="2"/>
        <v>8.3716050000000006</v>
      </c>
    </row>
    <row r="48" spans="1:5">
      <c r="A48">
        <v>32.5</v>
      </c>
      <c r="B48">
        <f t="shared" si="3"/>
        <v>6.4025964000000011</v>
      </c>
      <c r="C48">
        <f t="shared" si="4"/>
        <v>5.469007200000001</v>
      </c>
      <c r="D48">
        <v>3.9624000000000001</v>
      </c>
      <c r="E48">
        <f t="shared" si="2"/>
        <v>9.0692387500000002</v>
      </c>
    </row>
    <row r="49" spans="1:5">
      <c r="A49">
        <v>35</v>
      </c>
      <c r="B49">
        <f t="shared" si="3"/>
        <v>6.786536400000001</v>
      </c>
      <c r="C49">
        <f t="shared" si="4"/>
        <v>5.8298772000000003</v>
      </c>
      <c r="E49">
        <f t="shared" si="2"/>
        <v>9.7668724999999998</v>
      </c>
    </row>
    <row r="50" spans="1:5">
      <c r="A50">
        <v>37.5</v>
      </c>
      <c r="B50">
        <f t="shared" si="3"/>
        <v>7.1704764000000001</v>
      </c>
      <c r="C50">
        <f t="shared" si="4"/>
        <v>6.1907472000000006</v>
      </c>
      <c r="E50">
        <f t="shared" si="2"/>
        <v>10.464506250000001</v>
      </c>
    </row>
    <row r="51" spans="1:5">
      <c r="A51">
        <v>40</v>
      </c>
      <c r="B51">
        <f t="shared" si="3"/>
        <v>7.5544164</v>
      </c>
      <c r="C51">
        <f t="shared" si="4"/>
        <v>6.5516172000000017</v>
      </c>
      <c r="E51">
        <f t="shared" si="2"/>
        <v>11.162140000000001</v>
      </c>
    </row>
    <row r="52" spans="1:5">
      <c r="A52">
        <v>42.5</v>
      </c>
      <c r="B52">
        <f t="shared" si="3"/>
        <v>7.9383564</v>
      </c>
      <c r="C52">
        <f t="shared" si="4"/>
        <v>6.9124872000000011</v>
      </c>
      <c r="E52">
        <f t="shared" si="2"/>
        <v>11.85977375</v>
      </c>
    </row>
    <row r="53" spans="1:5">
      <c r="A53">
        <v>45</v>
      </c>
      <c r="B53">
        <f t="shared" si="3"/>
        <v>8.322296399999999</v>
      </c>
      <c r="C53">
        <f t="shared" si="4"/>
        <v>7.2733572000000013</v>
      </c>
      <c r="D53">
        <v>4.2671999999999999</v>
      </c>
      <c r="E53">
        <f t="shared" si="2"/>
        <v>12.5574075</v>
      </c>
    </row>
    <row r="54" spans="1:5">
      <c r="A54">
        <v>47.5</v>
      </c>
      <c r="B54">
        <f t="shared" si="3"/>
        <v>8.7062364000000017</v>
      </c>
      <c r="C54">
        <f t="shared" si="4"/>
        <v>7.6342272000000007</v>
      </c>
      <c r="E54">
        <f t="shared" si="2"/>
        <v>13.25504125</v>
      </c>
    </row>
    <row r="55" spans="1:5">
      <c r="A55">
        <v>50</v>
      </c>
      <c r="B55">
        <f t="shared" si="3"/>
        <v>9.0901764000000007</v>
      </c>
      <c r="C55">
        <f t="shared" si="4"/>
        <v>7.9950972000000009</v>
      </c>
      <c r="E55">
        <f t="shared" si="2"/>
        <v>13.952675000000001</v>
      </c>
    </row>
    <row r="63" spans="1:5">
      <c r="A63" s="26" t="s">
        <v>317</v>
      </c>
    </row>
    <row r="64" spans="1:5">
      <c r="A64" t="s">
        <v>318</v>
      </c>
    </row>
    <row r="65" spans="1:10">
      <c r="A65" t="s">
        <v>327</v>
      </c>
    </row>
    <row r="66" spans="1:10">
      <c r="A66" t="s">
        <v>1179</v>
      </c>
      <c r="B66" t="s">
        <v>319</v>
      </c>
      <c r="C66" t="s">
        <v>320</v>
      </c>
      <c r="D66" t="s">
        <v>321</v>
      </c>
      <c r="E66" t="s">
        <v>326</v>
      </c>
      <c r="F66" t="s">
        <v>325</v>
      </c>
      <c r="G66" t="s">
        <v>322</v>
      </c>
      <c r="H66" t="s">
        <v>323</v>
      </c>
      <c r="I66" t="s">
        <v>324</v>
      </c>
    </row>
    <row r="67" spans="1:10">
      <c r="A67">
        <v>25</v>
      </c>
      <c r="B67">
        <v>21.3</v>
      </c>
      <c r="C67">
        <v>3.4</v>
      </c>
      <c r="D67">
        <v>1.5</v>
      </c>
      <c r="E67">
        <f>PI()*D67*D67</f>
        <v>7.0685834705770345</v>
      </c>
      <c r="F67">
        <v>0.25</v>
      </c>
      <c r="G67">
        <f>4/3 * (PI()) * (D67*D67)*(C67/2)</f>
        <v>16.022122533307943</v>
      </c>
      <c r="H67">
        <f>(G67*F67)/E67</f>
        <v>0.56666666666666665</v>
      </c>
      <c r="I67">
        <v>36</v>
      </c>
    </row>
    <row r="68" spans="1:10">
      <c r="A68">
        <v>43</v>
      </c>
      <c r="B68">
        <v>24</v>
      </c>
      <c r="C68">
        <v>6.5</v>
      </c>
      <c r="D68">
        <v>3</v>
      </c>
      <c r="E68">
        <f>PI()*D68*D68</f>
        <v>28.274333882308138</v>
      </c>
      <c r="F68">
        <v>0.44</v>
      </c>
      <c r="G68">
        <f>4/3 * (PI()) * (D68*D68)*(C68/2)</f>
        <v>122.52211349000193</v>
      </c>
      <c r="H68">
        <f>(G68*F68)/E68</f>
        <v>1.9066666666666667</v>
      </c>
      <c r="I68">
        <v>36</v>
      </c>
    </row>
    <row r="69" spans="1:10">
      <c r="A69">
        <v>62</v>
      </c>
      <c r="B69">
        <v>28.5</v>
      </c>
      <c r="C69">
        <v>8.9</v>
      </c>
      <c r="D69">
        <v>4.0999999999999996</v>
      </c>
      <c r="E69">
        <f>PI()*D69*D69</f>
        <v>52.81017250684441</v>
      </c>
      <c r="F69">
        <v>0.68</v>
      </c>
      <c r="G69">
        <f>4/3 * (PI()) * (D69*D69)*(C69/2)</f>
        <v>313.34035687394351</v>
      </c>
      <c r="H69">
        <f>(G69*F69)/E69</f>
        <v>4.0346666666666673</v>
      </c>
      <c r="I69">
        <v>36</v>
      </c>
    </row>
    <row r="70" spans="1:10">
      <c r="I70" t="s">
        <v>328</v>
      </c>
    </row>
    <row r="72" spans="1:10">
      <c r="I72" t="s">
        <v>234</v>
      </c>
    </row>
    <row r="73" spans="1:10">
      <c r="I73" t="s">
        <v>1149</v>
      </c>
      <c r="J73" t="s">
        <v>647</v>
      </c>
    </row>
    <row r="74" spans="1:10">
      <c r="I74">
        <f>Pinno!A18</f>
        <v>1</v>
      </c>
      <c r="J74">
        <f>Pinno!D18/100</f>
        <v>0.42825155746653942</v>
      </c>
    </row>
    <row r="75" spans="1:10">
      <c r="I75">
        <f>Pinno!A19</f>
        <v>2</v>
      </c>
      <c r="J75">
        <f>Pinno!D19/100</f>
        <v>0.53772057906426629</v>
      </c>
    </row>
    <row r="76" spans="1:10">
      <c r="I76">
        <f>Pinno!A20</f>
        <v>3</v>
      </c>
      <c r="J76">
        <f>Pinno!D20/100</f>
        <v>0.64429010615665416</v>
      </c>
    </row>
    <row r="77" spans="1:10">
      <c r="I77">
        <f>Pinno!A21</f>
        <v>4</v>
      </c>
      <c r="J77">
        <f>Pinno!D21/100</f>
        <v>0.74694583766007416</v>
      </c>
    </row>
    <row r="78" spans="1:10">
      <c r="I78">
        <f>Pinno!A22</f>
        <v>5</v>
      </c>
      <c r="J78">
        <f>Pinno!D22/100</f>
        <v>0.84590123193424527</v>
      </c>
    </row>
    <row r="79" spans="1:10">
      <c r="I79">
        <f>Pinno!A23</f>
        <v>6</v>
      </c>
      <c r="J79">
        <f>Pinno!D23/100</f>
        <v>0.94155558454967025</v>
      </c>
    </row>
    <row r="80" spans="1:10">
      <c r="I80">
        <f>Pinno!A24</f>
        <v>7</v>
      </c>
      <c r="J80">
        <f>Pinno!D24/100</f>
        <v>1.0342947129604976</v>
      </c>
    </row>
    <row r="81" spans="9:10">
      <c r="I81">
        <f>Pinno!A25</f>
        <v>8</v>
      </c>
      <c r="J81">
        <f>Pinno!D25/100</f>
        <v>1.1244527757024789</v>
      </c>
    </row>
    <row r="82" spans="9:10">
      <c r="I82">
        <f>Pinno!A26</f>
        <v>9</v>
      </c>
      <c r="J82">
        <f>Pinno!D26/100</f>
        <v>1.2123113292974024</v>
      </c>
    </row>
    <row r="83" spans="9:10">
      <c r="I83">
        <f>Pinno!A27</f>
        <v>10</v>
      </c>
      <c r="J83">
        <f>Pinno!D27/100</f>
        <v>1.2981066535735706</v>
      </c>
    </row>
    <row r="84" spans="9:10">
      <c r="I84">
        <f>Pinno!A28</f>
        <v>11</v>
      </c>
      <c r="J84">
        <f>Pinno!D28/100</f>
        <v>1.3820378586573177</v>
      </c>
    </row>
    <row r="85" spans="9:10">
      <c r="I85">
        <f>Pinno!A29</f>
        <v>12</v>
      </c>
      <c r="J85">
        <f>Pinno!D29/100</f>
        <v>1.464273927497949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E3" sqref="E3"/>
    </sheetView>
  </sheetViews>
  <sheetFormatPr baseColWidth="10" defaultColWidth="8.85546875" defaultRowHeight="12.75"/>
  <cols>
    <col min="1" max="1" width="16" customWidth="1"/>
  </cols>
  <sheetData>
    <row r="1" spans="1:15">
      <c r="I1" s="93">
        <v>57.98249811236672</v>
      </c>
      <c r="J1" t="s">
        <v>554</v>
      </c>
      <c r="L1" s="93">
        <v>10</v>
      </c>
      <c r="N1" t="s">
        <v>863</v>
      </c>
      <c r="O1" t="s">
        <v>864</v>
      </c>
    </row>
    <row r="2" spans="1:15">
      <c r="I2" s="93">
        <v>3.7923986719462031</v>
      </c>
      <c r="L2" s="93">
        <v>0.08</v>
      </c>
      <c r="N2">
        <f>(L2)^(1/L3)</f>
        <v>552.42717280199054</v>
      </c>
      <c r="O2">
        <f>L1/L2</f>
        <v>125</v>
      </c>
    </row>
    <row r="3" spans="1:15" ht="38.25">
      <c r="A3" t="s">
        <v>708</v>
      </c>
      <c r="B3" s="93" t="s">
        <v>709</v>
      </c>
      <c r="C3" s="94" t="s">
        <v>710</v>
      </c>
      <c r="D3" s="93" t="s">
        <v>711</v>
      </c>
      <c r="E3" s="94" t="s">
        <v>712</v>
      </c>
      <c r="F3" s="93" t="s">
        <v>1441</v>
      </c>
      <c r="G3" s="93" t="s">
        <v>1442</v>
      </c>
      <c r="H3" s="94"/>
      <c r="I3" s="93">
        <v>-1.0456652376189031</v>
      </c>
      <c r="J3" s="94"/>
      <c r="K3" s="94"/>
      <c r="L3" s="93">
        <v>-0.4</v>
      </c>
      <c r="M3" t="s">
        <v>649</v>
      </c>
    </row>
    <row r="4" spans="1:15">
      <c r="A4" t="str">
        <f>Osawa!A6</f>
        <v>Q13</v>
      </c>
      <c r="C4">
        <f>Osawa!D6</f>
        <v>4.8899999999999997</v>
      </c>
      <c r="D4">
        <f>Osawa!C6</f>
        <v>2.88</v>
      </c>
      <c r="E4">
        <f>Osawa!I6/1000</f>
        <v>0.12485625577778552</v>
      </c>
      <c r="F4" t="s">
        <v>713</v>
      </c>
      <c r="G4" t="s">
        <v>714</v>
      </c>
      <c r="I4" s="93">
        <f>$I$1/($I$2+(E4)^$I$3)</f>
        <v>4.6018249485231415</v>
      </c>
      <c r="J4">
        <f>(C4-I4)^2</f>
        <v>8.3044860293689862E-2</v>
      </c>
      <c r="K4">
        <v>0.01</v>
      </c>
      <c r="L4" s="93">
        <f>$L$1/($L$2+(K4)^$L$3)</f>
        <v>1.5650496995437519</v>
      </c>
      <c r="M4">
        <f>E4/(PI()/4*D4*D4)</f>
        <v>1.9166175041455038E-2</v>
      </c>
    </row>
    <row r="5" spans="1:15">
      <c r="A5" t="str">
        <f>Osawa!A7</f>
        <v>Q1</v>
      </c>
      <c r="C5">
        <f>Osawa!D7</f>
        <v>6.57</v>
      </c>
      <c r="D5">
        <f>Osawa!C7</f>
        <v>3.99</v>
      </c>
      <c r="E5">
        <f>Osawa!I7/1000</f>
        <v>0.2587274563238286</v>
      </c>
      <c r="F5" t="s">
        <v>713</v>
      </c>
      <c r="G5" t="s">
        <v>714</v>
      </c>
      <c r="I5" s="93">
        <f t="shared" ref="I5:I18" si="0">$I$1/($I$2+(E5)^$I$3)</f>
        <v>7.336201142133862</v>
      </c>
      <c r="J5">
        <f t="shared" ref="J5:J18" si="1">(C5-I5)^2</f>
        <v>0.5870641902072341</v>
      </c>
      <c r="K5">
        <v>0.05</v>
      </c>
      <c r="L5" s="93">
        <f>$L$1/($L$2+(K5)^$L$3)</f>
        <v>2.9459818718759228</v>
      </c>
      <c r="M5">
        <f t="shared" ref="M5:M18" si="2">E5/(PI()/4*D5*D5)</f>
        <v>2.0692208510011759E-2</v>
      </c>
    </row>
    <row r="6" spans="1:15">
      <c r="A6" t="str">
        <f>Osawa!A8</f>
        <v>Q25</v>
      </c>
      <c r="C6">
        <f>Osawa!D8</f>
        <v>8.75</v>
      </c>
      <c r="D6">
        <f>Osawa!C8</f>
        <v>6.02</v>
      </c>
      <c r="E6">
        <f>Osawa!I8/1000</f>
        <v>0.64873339513297246</v>
      </c>
      <c r="F6" t="s">
        <v>713</v>
      </c>
      <c r="G6" t="s">
        <v>714</v>
      </c>
      <c r="I6" s="93">
        <f t="shared" si="0"/>
        <v>10.808298800487195</v>
      </c>
      <c r="J6">
        <f t="shared" si="1"/>
        <v>4.236593952087027</v>
      </c>
      <c r="K6">
        <v>0.2</v>
      </c>
      <c r="L6" s="93">
        <f t="shared" ref="L6:L24" si="3">$L$1/($L$2+(K6)^$L$3)</f>
        <v>5.0412018975817503</v>
      </c>
      <c r="M6">
        <f t="shared" si="2"/>
        <v>2.2792050106334432E-2</v>
      </c>
    </row>
    <row r="7" spans="1:15">
      <c r="A7" t="str">
        <f>Osawa!A9</f>
        <v>Q22</v>
      </c>
      <c r="C7">
        <f>Osawa!D9</f>
        <v>11</v>
      </c>
      <c r="D7">
        <f>Osawa!C9</f>
        <v>8.91</v>
      </c>
      <c r="E7">
        <f>Osawa!I9/1000</f>
        <v>1.558277376238524</v>
      </c>
      <c r="F7" t="s">
        <v>713</v>
      </c>
      <c r="G7" t="s">
        <v>714</v>
      </c>
      <c r="I7" s="93">
        <f t="shared" si="0"/>
        <v>13.114460081641271</v>
      </c>
      <c r="J7">
        <f t="shared" si="1"/>
        <v>4.4709414368544103</v>
      </c>
      <c r="K7">
        <v>0.3</v>
      </c>
      <c r="L7" s="93">
        <f t="shared" si="3"/>
        <v>5.8870467085636609</v>
      </c>
      <c r="M7">
        <f t="shared" si="2"/>
        <v>2.4991911597494362E-2</v>
      </c>
    </row>
    <row r="8" spans="1:15">
      <c r="A8">
        <f>Johansson!A5</f>
        <v>1</v>
      </c>
      <c r="B8">
        <f>Johansson!B5</f>
        <v>13</v>
      </c>
      <c r="C8">
        <f>Johansson!M5</f>
        <v>7.7</v>
      </c>
      <c r="D8">
        <f>Johansson!O5</f>
        <v>4.8</v>
      </c>
      <c r="E8">
        <f>Johansson!W5/1000</f>
        <v>0.38119999999999998</v>
      </c>
      <c r="F8" t="s">
        <v>718</v>
      </c>
      <c r="G8" t="s">
        <v>714</v>
      </c>
      <c r="I8" s="93">
        <f t="shared" si="0"/>
        <v>8.8742276384228358</v>
      </c>
      <c r="J8">
        <f t="shared" si="1"/>
        <v>1.3788105468360696</v>
      </c>
      <c r="K8">
        <v>0.4</v>
      </c>
      <c r="L8" s="93">
        <f t="shared" si="3"/>
        <v>6.5672822078767199</v>
      </c>
      <c r="M8">
        <f t="shared" si="2"/>
        <v>2.1065925106468923E-2</v>
      </c>
      <c r="N8" t="s">
        <v>648</v>
      </c>
    </row>
    <row r="9" spans="1:15">
      <c r="A9">
        <f>Johansson!A6</f>
        <v>2</v>
      </c>
      <c r="B9">
        <f>Johansson!B6</f>
        <v>16</v>
      </c>
      <c r="C9">
        <f>Johansson!M6</f>
        <v>9.4</v>
      </c>
      <c r="D9">
        <f>Johansson!O6</f>
        <v>6.8</v>
      </c>
      <c r="E9">
        <f>Johansson!W6/1000</f>
        <v>0.33169999999999999</v>
      </c>
      <c r="F9" t="s">
        <v>718</v>
      </c>
      <c r="G9" t="s">
        <v>714</v>
      </c>
      <c r="I9" s="93">
        <f t="shared" si="0"/>
        <v>8.3272454082617759</v>
      </c>
      <c r="J9">
        <f t="shared" si="1"/>
        <v>1.1508024140954445</v>
      </c>
      <c r="K9">
        <v>0.5</v>
      </c>
      <c r="L9" s="93">
        <f t="shared" si="3"/>
        <v>7.1453686849668365</v>
      </c>
      <c r="M9">
        <f t="shared" si="2"/>
        <v>9.1335111805504639E-3</v>
      </c>
      <c r="N9" t="s">
        <v>717</v>
      </c>
    </row>
    <row r="10" spans="1:15">
      <c r="A10">
        <f>Johansson!A7</f>
        <v>3</v>
      </c>
      <c r="B10">
        <f>Johansson!B7</f>
        <v>20</v>
      </c>
      <c r="C10">
        <f>Johansson!M7</f>
        <v>11</v>
      </c>
      <c r="D10">
        <f>Johansson!O7</f>
        <v>8.3000000000000007</v>
      </c>
      <c r="E10">
        <f>Johansson!W7/1000</f>
        <v>0.60520000000000007</v>
      </c>
      <c r="F10" t="s">
        <v>718</v>
      </c>
      <c r="G10" t="s">
        <v>714</v>
      </c>
      <c r="I10" s="93">
        <f t="shared" si="0"/>
        <v>10.574812120869536</v>
      </c>
      <c r="J10">
        <f t="shared" si="1"/>
        <v>0.18078473255946184</v>
      </c>
      <c r="K10">
        <v>0.6</v>
      </c>
      <c r="L10" s="93">
        <f t="shared" si="3"/>
        <v>7.6528472296228047</v>
      </c>
      <c r="M10">
        <f t="shared" si="2"/>
        <v>1.1185434351483822E-2</v>
      </c>
    </row>
    <row r="11" spans="1:15">
      <c r="A11">
        <f>Johansson!A8</f>
        <v>4</v>
      </c>
      <c r="B11">
        <f>Johansson!B8</f>
        <v>18</v>
      </c>
      <c r="C11">
        <f>Johansson!M8</f>
        <v>11.9</v>
      </c>
      <c r="D11">
        <f>Johansson!O8</f>
        <v>8</v>
      </c>
      <c r="E11">
        <f>Johansson!W8/1000</f>
        <v>0.6018</v>
      </c>
      <c r="F11" t="s">
        <v>718</v>
      </c>
      <c r="G11" t="s">
        <v>714</v>
      </c>
      <c r="I11" s="93">
        <f t="shared" si="0"/>
        <v>10.555581471866081</v>
      </c>
      <c r="J11">
        <f t="shared" si="1"/>
        <v>1.8074611787897754</v>
      </c>
      <c r="K11">
        <v>0.7</v>
      </c>
      <c r="L11" s="93">
        <f t="shared" si="3"/>
        <v>8.108004405974512</v>
      </c>
      <c r="M11">
        <f t="shared" si="2"/>
        <v>1.1972430594087827E-2</v>
      </c>
    </row>
    <row r="12" spans="1:15">
      <c r="A12">
        <f>Johansson!A9</f>
        <v>5</v>
      </c>
      <c r="B12">
        <f>Johansson!B9</f>
        <v>18</v>
      </c>
      <c r="C12">
        <f>Johansson!M9</f>
        <v>8.8000000000000007</v>
      </c>
      <c r="D12">
        <f>Johansson!O9</f>
        <v>5.6</v>
      </c>
      <c r="E12">
        <f>Johansson!W9/1000</f>
        <v>0.3463</v>
      </c>
      <c r="F12" t="s">
        <v>718</v>
      </c>
      <c r="G12" t="s">
        <v>714</v>
      </c>
      <c r="I12" s="93">
        <f t="shared" si="0"/>
        <v>8.4976623442761685</v>
      </c>
      <c r="J12">
        <f t="shared" si="1"/>
        <v>9.1408058068582487E-2</v>
      </c>
      <c r="K12">
        <v>0.8</v>
      </c>
      <c r="L12" s="93">
        <f t="shared" si="3"/>
        <v>8.5225185150167153</v>
      </c>
      <c r="M12">
        <f t="shared" si="2"/>
        <v>1.4060039998143713E-2</v>
      </c>
    </row>
    <row r="13" spans="1:15">
      <c r="A13">
        <f>Johansson!A10</f>
        <v>6</v>
      </c>
      <c r="B13">
        <f>Johansson!B10</f>
        <v>9</v>
      </c>
      <c r="C13">
        <f>Johansson!M10</f>
        <v>5.4</v>
      </c>
      <c r="D13">
        <f>Johansson!O10</f>
        <v>3.8</v>
      </c>
      <c r="E13">
        <f>Johansson!W10/1000</f>
        <v>0.18240000000000001</v>
      </c>
      <c r="F13" t="s">
        <v>718</v>
      </c>
      <c r="G13" t="s">
        <v>714</v>
      </c>
      <c r="I13" s="93">
        <f t="shared" si="0"/>
        <v>5.966603995315876</v>
      </c>
      <c r="J13">
        <f t="shared" si="1"/>
        <v>0.32104008750791285</v>
      </c>
      <c r="K13">
        <v>0.9</v>
      </c>
      <c r="L13" s="93">
        <f t="shared" si="3"/>
        <v>8.9043636319759329</v>
      </c>
      <c r="M13">
        <f t="shared" si="2"/>
        <v>1.6083025828233635E-2</v>
      </c>
    </row>
    <row r="14" spans="1:15">
      <c r="A14">
        <f>Johansson!A11</f>
        <v>7</v>
      </c>
      <c r="B14">
        <f>Johansson!B11</f>
        <v>5</v>
      </c>
      <c r="C14">
        <f>Johansson!M11</f>
        <v>3.6</v>
      </c>
      <c r="D14">
        <f>Johansson!O11</f>
        <v>2</v>
      </c>
      <c r="E14">
        <f>Johansson!W11/1000</f>
        <v>6.2899999999999998E-2</v>
      </c>
      <c r="F14" t="s">
        <v>718</v>
      </c>
      <c r="G14" t="s">
        <v>714</v>
      </c>
      <c r="I14" s="93">
        <f t="shared" si="0"/>
        <v>2.6559384503810359</v>
      </c>
      <c r="J14">
        <f t="shared" si="1"/>
        <v>0.89125220946895989</v>
      </c>
      <c r="K14">
        <v>1</v>
      </c>
      <c r="L14" s="93">
        <f t="shared" si="3"/>
        <v>9.2592592592592595</v>
      </c>
      <c r="M14">
        <f t="shared" si="2"/>
        <v>2.0021691840960434E-2</v>
      </c>
    </row>
    <row r="15" spans="1:15">
      <c r="A15">
        <f>Johansson!A12</f>
        <v>8</v>
      </c>
      <c r="B15">
        <f>Johansson!B12</f>
        <v>8</v>
      </c>
      <c r="C15">
        <f>Johansson!M12</f>
        <v>4.4000000000000004</v>
      </c>
      <c r="D15">
        <f>Johansson!O12</f>
        <v>3</v>
      </c>
      <c r="E15">
        <f>Johansson!W12/1000</f>
        <v>0.12440000000000001</v>
      </c>
      <c r="F15" t="s">
        <v>718</v>
      </c>
      <c r="G15" t="s">
        <v>714</v>
      </c>
      <c r="I15" s="93">
        <f t="shared" si="0"/>
        <v>4.5895202836901392</v>
      </c>
      <c r="J15">
        <f t="shared" si="1"/>
        <v>3.5917937929990706E-2</v>
      </c>
      <c r="K15">
        <v>1.1000000000000001</v>
      </c>
      <c r="L15" s="93">
        <f t="shared" si="3"/>
        <v>9.5914658728674755</v>
      </c>
      <c r="M15">
        <f t="shared" si="2"/>
        <v>1.7598999929450472E-2</v>
      </c>
    </row>
    <row r="16" spans="1:15">
      <c r="A16">
        <f>Johansson!A13</f>
        <v>9</v>
      </c>
      <c r="B16">
        <f>Johansson!B13</f>
        <v>15</v>
      </c>
      <c r="C16">
        <f>Johansson!M13</f>
        <v>15.8</v>
      </c>
      <c r="D16">
        <f>Johansson!O13</f>
        <v>10.8</v>
      </c>
      <c r="E16">
        <f>Johansson!W13/1000</f>
        <v>0.93359999999999999</v>
      </c>
      <c r="F16" t="s">
        <v>718</v>
      </c>
      <c r="G16" t="s">
        <v>714</v>
      </c>
      <c r="I16" s="93">
        <f t="shared" si="0"/>
        <v>11.913672156111557</v>
      </c>
      <c r="J16">
        <f t="shared" si="1"/>
        <v>15.103544110182597</v>
      </c>
      <c r="K16">
        <v>1.2</v>
      </c>
      <c r="L16" s="93">
        <f t="shared" si="3"/>
        <v>9.9042537489518203</v>
      </c>
      <c r="M16">
        <f t="shared" si="2"/>
        <v>1.0191156026789676E-2</v>
      </c>
    </row>
    <row r="17" spans="1:13">
      <c r="A17">
        <f>Johansson!A14</f>
        <v>10</v>
      </c>
      <c r="B17">
        <f>Johansson!B14</f>
        <v>10</v>
      </c>
      <c r="C17">
        <f>Johansson!M14</f>
        <v>9.4</v>
      </c>
      <c r="D17">
        <f>Johansson!O14</f>
        <v>6.1</v>
      </c>
      <c r="E17">
        <f>Johansson!W14/1000</f>
        <v>0.3906</v>
      </c>
      <c r="F17" t="s">
        <v>718</v>
      </c>
      <c r="G17" t="s">
        <v>714</v>
      </c>
      <c r="I17" s="93">
        <f t="shared" si="0"/>
        <v>8.9688716293283068</v>
      </c>
      <c r="J17">
        <f t="shared" si="1"/>
        <v>0.18587167199802918</v>
      </c>
      <c r="K17">
        <v>1.3</v>
      </c>
      <c r="L17" s="93">
        <f t="shared" si="3"/>
        <v>10.20019508432884</v>
      </c>
      <c r="M17">
        <f t="shared" si="2"/>
        <v>1.3365422364244952E-2</v>
      </c>
    </row>
    <row r="18" spans="1:13">
      <c r="A18">
        <f>Johansson!A15</f>
        <v>11</v>
      </c>
      <c r="B18">
        <f>Johansson!B15</f>
        <v>24</v>
      </c>
      <c r="C18">
        <f>Johansson!M15</f>
        <v>7.9</v>
      </c>
      <c r="D18">
        <f>Johansson!O15</f>
        <v>6.2</v>
      </c>
      <c r="E18">
        <f>Johansson!W15/1000</f>
        <v>0.43519999999999998</v>
      </c>
      <c r="F18" t="s">
        <v>718</v>
      </c>
      <c r="G18" t="s">
        <v>714</v>
      </c>
      <c r="I18" s="93">
        <f t="shared" si="0"/>
        <v>9.3835443423725344</v>
      </c>
      <c r="J18">
        <f t="shared" si="1"/>
        <v>2.2009038157855545</v>
      </c>
      <c r="K18">
        <v>1.4</v>
      </c>
      <c r="L18" s="93">
        <f t="shared" si="3"/>
        <v>10.481354366979682</v>
      </c>
      <c r="M18">
        <f t="shared" si="2"/>
        <v>1.4415032514795598E-2</v>
      </c>
    </row>
    <row r="19" spans="1:13">
      <c r="K19">
        <v>1.5</v>
      </c>
      <c r="L19" s="93">
        <f t="shared" si="3"/>
        <v>10.749417108036383</v>
      </c>
    </row>
    <row r="20" spans="1:13">
      <c r="J20">
        <f>SUM(J4:J18)</f>
        <v>32.725441202664733</v>
      </c>
      <c r="K20">
        <v>1.6</v>
      </c>
      <c r="L20" s="93">
        <f t="shared" si="3"/>
        <v>11.005779632693089</v>
      </c>
    </row>
    <row r="21" spans="1:13">
      <c r="K21">
        <v>1.7</v>
      </c>
      <c r="L21" s="93">
        <f t="shared" si="3"/>
        <v>11.251613383717867</v>
      </c>
    </row>
    <row r="22" spans="1:13">
      <c r="K22">
        <v>1.8</v>
      </c>
      <c r="L22" s="93">
        <f t="shared" si="3"/>
        <v>11.487912031258197</v>
      </c>
    </row>
    <row r="23" spans="1:13">
      <c r="K23">
        <v>1.9</v>
      </c>
      <c r="L23" s="93">
        <f t="shared" si="3"/>
        <v>11.715526676649581</v>
      </c>
    </row>
    <row r="24" spans="1:13">
      <c r="K24">
        <v>2</v>
      </c>
      <c r="L24" s="93">
        <f t="shared" si="3"/>
        <v>11.935192621296972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baseColWidth="10" defaultColWidth="8.85546875" defaultRowHeight="12.75"/>
  <sheetData>
    <row r="1" spans="1:4">
      <c r="A1" t="s">
        <v>555</v>
      </c>
    </row>
    <row r="2" spans="1:4">
      <c r="A2" t="s">
        <v>716</v>
      </c>
      <c r="B2" t="s">
        <v>715</v>
      </c>
    </row>
    <row r="3" spans="1:4">
      <c r="A3">
        <v>1</v>
      </c>
      <c r="B3">
        <f>A3*A3*PI()/4</f>
        <v>0.78539816339744828</v>
      </c>
      <c r="C3">
        <f>A3^2.02</f>
        <v>1</v>
      </c>
      <c r="D3">
        <f>C3*EXP(-4.16)</f>
        <v>1.5607557919982831E-2</v>
      </c>
    </row>
    <row r="4" spans="1:4">
      <c r="A4">
        <v>2</v>
      </c>
      <c r="B4">
        <f t="shared" ref="B4:B17" si="0">A4*A4*PI()/4</f>
        <v>3.1415926535897931</v>
      </c>
      <c r="C4">
        <f t="shared" ref="C4:C17" si="1">A4^2.02</f>
        <v>4.0558379191601164</v>
      </c>
      <c r="D4">
        <f t="shared" ref="D4:D17" si="2">C4*EXP(-4.16)</f>
        <v>6.3301725237354153E-2</v>
      </c>
    </row>
    <row r="5" spans="1:4">
      <c r="A5">
        <v>3</v>
      </c>
      <c r="B5">
        <f t="shared" si="0"/>
        <v>7.0685834705770345</v>
      </c>
      <c r="C5">
        <f t="shared" si="1"/>
        <v>9.1999387195062976</v>
      </c>
      <c r="D5">
        <f t="shared" si="2"/>
        <v>0.14358857642498721</v>
      </c>
    </row>
    <row r="6" spans="1:4">
      <c r="A6">
        <v>4</v>
      </c>
      <c r="B6">
        <f t="shared" si="0"/>
        <v>12.566370614359172</v>
      </c>
      <c r="C6">
        <f t="shared" si="1"/>
        <v>16.449821226497065</v>
      </c>
      <c r="D6">
        <f t="shared" si="2"/>
        <v>0.25674153756591594</v>
      </c>
    </row>
    <row r="7" spans="1:4">
      <c r="A7">
        <v>5</v>
      </c>
      <c r="B7">
        <f t="shared" si="0"/>
        <v>19.634954084936208</v>
      </c>
      <c r="C7">
        <f t="shared" si="1"/>
        <v>25.817810497411077</v>
      </c>
      <c r="D7">
        <f t="shared" si="2"/>
        <v>0.40295297270548414</v>
      </c>
    </row>
    <row r="8" spans="1:4">
      <c r="A8">
        <v>6</v>
      </c>
      <c r="B8">
        <f t="shared" si="0"/>
        <v>28.274333882308138</v>
      </c>
      <c r="C8">
        <f t="shared" si="1"/>
        <v>37.313460312522984</v>
      </c>
      <c r="D8">
        <f t="shared" si="2"/>
        <v>0.58237199302268317</v>
      </c>
    </row>
    <row r="9" spans="1:4">
      <c r="A9">
        <v>7</v>
      </c>
      <c r="B9">
        <f t="shared" si="0"/>
        <v>38.484510006474963</v>
      </c>
      <c r="C9">
        <f t="shared" si="1"/>
        <v>50.944586413126913</v>
      </c>
      <c r="D9">
        <f t="shared" si="2"/>
        <v>0.79512058315244871</v>
      </c>
    </row>
    <row r="10" spans="1:4">
      <c r="A10">
        <v>8</v>
      </c>
      <c r="B10">
        <f t="shared" si="0"/>
        <v>50.26548245743669</v>
      </c>
      <c r="C10">
        <f t="shared" si="1"/>
        <v>66.717808693831728</v>
      </c>
      <c r="D10">
        <f t="shared" si="2"/>
        <v>1.0413020634833128</v>
      </c>
    </row>
    <row r="11" spans="1:4">
      <c r="A11">
        <v>9</v>
      </c>
      <c r="B11">
        <f t="shared" si="0"/>
        <v>63.617251235193308</v>
      </c>
      <c r="C11">
        <f t="shared" si="1"/>
        <v>84.638872442671158</v>
      </c>
      <c r="D11">
        <f t="shared" si="2"/>
        <v>1.3210061039310288</v>
      </c>
    </row>
    <row r="12" spans="1:4">
      <c r="A12">
        <v>10</v>
      </c>
      <c r="B12">
        <f t="shared" si="0"/>
        <v>78.539816339744831</v>
      </c>
      <c r="C12">
        <f t="shared" si="1"/>
        <v>104.71285480508998</v>
      </c>
      <c r="D12">
        <f t="shared" si="2"/>
        <v>1.6343119463371942</v>
      </c>
    </row>
    <row r="13" spans="1:4">
      <c r="A13">
        <v>11</v>
      </c>
      <c r="B13">
        <f t="shared" si="0"/>
        <v>95.033177771091246</v>
      </c>
      <c r="C13">
        <f t="shared" si="1"/>
        <v>126.94430551913149</v>
      </c>
      <c r="D13">
        <f t="shared" si="2"/>
        <v>1.9812906010018407</v>
      </c>
    </row>
    <row r="14" spans="1:4">
      <c r="A14">
        <v>12</v>
      </c>
      <c r="B14">
        <f t="shared" si="0"/>
        <v>113.09733552923255</v>
      </c>
      <c r="C14">
        <f t="shared" si="1"/>
        <v>151.33734723060692</v>
      </c>
      <c r="D14">
        <f t="shared" si="2"/>
        <v>2.3620064123582507</v>
      </c>
    </row>
    <row r="15" spans="1:4">
      <c r="A15">
        <v>13</v>
      </c>
      <c r="B15">
        <f t="shared" si="0"/>
        <v>132.73228961416876</v>
      </c>
      <c r="C15">
        <f t="shared" si="1"/>
        <v>177.89574955732886</v>
      </c>
      <c r="D15">
        <f t="shared" si="2"/>
        <v>2.7765182149347702</v>
      </c>
    </row>
    <row r="16" spans="1:4">
      <c r="A16">
        <v>14</v>
      </c>
      <c r="B16">
        <f t="shared" si="0"/>
        <v>153.93804002589985</v>
      </c>
      <c r="C16">
        <f t="shared" si="1"/>
        <v>206.62298535028927</v>
      </c>
      <c r="D16">
        <f t="shared" si="2"/>
        <v>3.2248802114544035</v>
      </c>
    </row>
    <row r="17" spans="1:4">
      <c r="A17">
        <v>15</v>
      </c>
      <c r="B17">
        <f t="shared" si="0"/>
        <v>176.71458676442586</v>
      </c>
      <c r="C17">
        <f t="shared" si="1"/>
        <v>237.52227444800829</v>
      </c>
      <c r="D17">
        <f t="shared" si="2"/>
        <v>3.7071426557333473</v>
      </c>
    </row>
    <row r="19" spans="1:4">
      <c r="D19">
        <f>EXP(-4.16)</f>
        <v>1.5607557919982831E-2</v>
      </c>
    </row>
    <row r="21" spans="1:4">
      <c r="A21" t="s">
        <v>556</v>
      </c>
    </row>
  </sheetData>
  <phoneticPr fontId="0" type="noConversion"/>
  <pageMargins left="0.78740157499999996" right="0.78740157499999996" top="0.984251969" bottom="0.984251969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S57"/>
  <sheetViews>
    <sheetView topLeftCell="A28" workbookViewId="0">
      <selection activeCell="A56" sqref="A56"/>
    </sheetView>
  </sheetViews>
  <sheetFormatPr baseColWidth="10" defaultRowHeight="12.75"/>
  <cols>
    <col min="1" max="1" width="16.7109375" style="11" customWidth="1"/>
    <col min="2" max="2" width="17.42578125" style="11" customWidth="1"/>
    <col min="3" max="13" width="11.42578125" style="11"/>
    <col min="14" max="14" width="14.140625" style="11" customWidth="1"/>
    <col min="15" max="15" width="14" style="11" customWidth="1"/>
    <col min="16" max="16" width="13.28515625" style="11" customWidth="1"/>
    <col min="17" max="17" width="14.28515625" style="11" customWidth="1"/>
    <col min="18" max="18" width="16.28515625" style="11" customWidth="1"/>
    <col min="19" max="19" width="14.7109375" style="11" customWidth="1"/>
    <col min="20" max="16384" width="11.42578125" style="11"/>
  </cols>
  <sheetData>
    <row r="1" spans="1:18">
      <c r="A1" s="10" t="s">
        <v>44</v>
      </c>
    </row>
    <row r="2" spans="1:18">
      <c r="A2" s="10" t="s">
        <v>45</v>
      </c>
    </row>
    <row r="3" spans="1:18">
      <c r="A3" s="10" t="s">
        <v>46</v>
      </c>
    </row>
    <row r="5" spans="1:18">
      <c r="A5" s="12" t="s">
        <v>47</v>
      </c>
    </row>
    <row r="6" spans="1:18">
      <c r="A6" s="12" t="s">
        <v>48</v>
      </c>
    </row>
    <row r="7" spans="1:18" ht="15.75">
      <c r="A7" s="12" t="s">
        <v>209</v>
      </c>
    </row>
    <row r="8" spans="1:18">
      <c r="A8" s="12" t="s">
        <v>49</v>
      </c>
    </row>
    <row r="9" spans="1:18">
      <c r="A9" s="12" t="s">
        <v>67</v>
      </c>
    </row>
    <row r="10" spans="1:18">
      <c r="A10" s="10" t="s">
        <v>68</v>
      </c>
    </row>
    <row r="11" spans="1:18" ht="45" customHeight="1">
      <c r="A11" s="13" t="s">
        <v>69</v>
      </c>
      <c r="B11" s="13" t="s">
        <v>70</v>
      </c>
      <c r="C11" s="13" t="s">
        <v>71</v>
      </c>
      <c r="D11" s="13" t="s">
        <v>72</v>
      </c>
      <c r="E11" s="13" t="s">
        <v>210</v>
      </c>
      <c r="F11" s="13" t="s">
        <v>73</v>
      </c>
      <c r="G11" s="13" t="s">
        <v>211</v>
      </c>
      <c r="H11" s="13" t="s">
        <v>212</v>
      </c>
      <c r="I11" s="13" t="s">
        <v>213</v>
      </c>
      <c r="J11" s="13" t="s">
        <v>74</v>
      </c>
      <c r="K11" s="13" t="s">
        <v>75</v>
      </c>
      <c r="L11" s="13" t="s">
        <v>76</v>
      </c>
      <c r="M11" s="13" t="s">
        <v>77</v>
      </c>
      <c r="N11" s="13" t="s">
        <v>78</v>
      </c>
      <c r="O11" s="13" t="s">
        <v>86</v>
      </c>
      <c r="P11" s="13" t="s">
        <v>87</v>
      </c>
      <c r="Q11" s="13" t="s">
        <v>88</v>
      </c>
      <c r="R11" s="13" t="s">
        <v>89</v>
      </c>
    </row>
    <row r="12" spans="1:18">
      <c r="A12" s="10" t="s">
        <v>90</v>
      </c>
      <c r="B12" s="10" t="s">
        <v>91</v>
      </c>
      <c r="C12" s="11">
        <v>8</v>
      </c>
      <c r="D12" s="11">
        <v>513</v>
      </c>
      <c r="E12" s="11">
        <v>108</v>
      </c>
      <c r="F12" s="11">
        <v>210</v>
      </c>
      <c r="G12" s="11">
        <v>4</v>
      </c>
      <c r="H12" s="11">
        <v>408</v>
      </c>
      <c r="I12" s="11">
        <v>7</v>
      </c>
      <c r="J12" s="11">
        <v>0.34</v>
      </c>
      <c r="K12" s="11">
        <v>3.8</v>
      </c>
      <c r="L12" s="11">
        <v>2.1</v>
      </c>
      <c r="M12" s="11">
        <v>30.9</v>
      </c>
      <c r="N12" s="11">
        <v>2.6</v>
      </c>
      <c r="O12" s="11">
        <v>166</v>
      </c>
      <c r="P12" s="11">
        <v>4</v>
      </c>
      <c r="Q12" s="11">
        <v>513</v>
      </c>
      <c r="R12" s="11">
        <v>16</v>
      </c>
    </row>
    <row r="13" spans="1:18">
      <c r="A13" s="10" t="s">
        <v>92</v>
      </c>
      <c r="B13" s="10" t="s">
        <v>93</v>
      </c>
      <c r="C13" s="11">
        <v>6</v>
      </c>
      <c r="D13" s="11">
        <v>1960</v>
      </c>
      <c r="E13" s="11">
        <v>225</v>
      </c>
      <c r="F13" s="11">
        <v>118</v>
      </c>
      <c r="G13" s="11">
        <v>6</v>
      </c>
      <c r="H13" s="11">
        <v>276</v>
      </c>
      <c r="I13" s="11">
        <v>8</v>
      </c>
      <c r="J13" s="11">
        <v>0.72</v>
      </c>
    </row>
    <row r="14" spans="1:18">
      <c r="A14" s="10" t="s">
        <v>7</v>
      </c>
      <c r="B14" s="10" t="s">
        <v>91</v>
      </c>
      <c r="C14" s="11">
        <v>12</v>
      </c>
      <c r="D14" s="11">
        <v>1139</v>
      </c>
      <c r="E14" s="11">
        <v>62</v>
      </c>
      <c r="F14" s="11">
        <v>39</v>
      </c>
      <c r="G14" s="11">
        <v>3</v>
      </c>
      <c r="H14" s="11">
        <v>84</v>
      </c>
      <c r="I14" s="11">
        <v>6</v>
      </c>
      <c r="J14" s="11">
        <v>0.22</v>
      </c>
      <c r="K14" s="11">
        <v>2.2999999999999998</v>
      </c>
      <c r="L14" s="11">
        <v>1.4</v>
      </c>
      <c r="M14" s="11">
        <v>22.7</v>
      </c>
      <c r="N14" s="11">
        <v>1.9</v>
      </c>
      <c r="O14" s="11">
        <v>36</v>
      </c>
      <c r="P14" s="11">
        <v>2.6</v>
      </c>
      <c r="Q14" s="11">
        <v>81</v>
      </c>
      <c r="R14" s="11">
        <v>11</v>
      </c>
    </row>
    <row r="15" spans="1:18">
      <c r="A15" s="10" t="s">
        <v>94</v>
      </c>
      <c r="B15" s="10" t="s">
        <v>93</v>
      </c>
      <c r="C15" s="11">
        <v>12</v>
      </c>
      <c r="D15" s="11">
        <v>2568</v>
      </c>
      <c r="E15" s="11">
        <v>87</v>
      </c>
      <c r="F15" s="11">
        <v>33</v>
      </c>
      <c r="G15" s="11">
        <v>4</v>
      </c>
      <c r="H15" s="11">
        <v>75</v>
      </c>
      <c r="I15" s="11">
        <v>6</v>
      </c>
      <c r="J15" s="11">
        <v>0.31</v>
      </c>
    </row>
    <row r="16" spans="1:18" s="12" customFormat="1">
      <c r="A16" s="12" t="s">
        <v>1459</v>
      </c>
      <c r="B16" s="12" t="s">
        <v>91</v>
      </c>
      <c r="C16" s="12">
        <v>8</v>
      </c>
      <c r="D16" s="12">
        <v>288</v>
      </c>
      <c r="E16" s="12">
        <v>76</v>
      </c>
      <c r="F16" s="12">
        <v>264</v>
      </c>
      <c r="G16" s="12">
        <v>4</v>
      </c>
      <c r="H16" s="12">
        <v>464</v>
      </c>
      <c r="I16" s="12">
        <v>7</v>
      </c>
      <c r="J16" s="12">
        <v>0.24</v>
      </c>
      <c r="K16" s="12">
        <v>4.8</v>
      </c>
      <c r="L16" s="12">
        <v>3.4</v>
      </c>
      <c r="M16" s="12">
        <v>22.2</v>
      </c>
      <c r="N16" s="12">
        <v>2.2999999999999998</v>
      </c>
      <c r="O16" s="12">
        <v>227</v>
      </c>
      <c r="P16" s="12">
        <v>3</v>
      </c>
      <c r="Q16" s="12">
        <v>502</v>
      </c>
      <c r="R16" s="12">
        <v>14</v>
      </c>
    </row>
    <row r="17" spans="1:19" s="12" customFormat="1">
      <c r="A17" s="12" t="s">
        <v>92</v>
      </c>
      <c r="B17" s="12" t="s">
        <v>93</v>
      </c>
      <c r="C17" s="12">
        <v>8</v>
      </c>
      <c r="D17" s="12">
        <v>1377</v>
      </c>
      <c r="E17" s="12">
        <v>258</v>
      </c>
      <c r="F17" s="12">
        <v>195</v>
      </c>
      <c r="G17" s="12">
        <v>5</v>
      </c>
      <c r="H17" s="12">
        <v>391</v>
      </c>
      <c r="I17" s="12">
        <v>7</v>
      </c>
      <c r="J17" s="12">
        <v>0.82</v>
      </c>
    </row>
    <row r="18" spans="1:19">
      <c r="A18" s="10" t="s">
        <v>4</v>
      </c>
      <c r="B18" s="10" t="s">
        <v>91</v>
      </c>
      <c r="C18" s="11">
        <v>15</v>
      </c>
      <c r="D18" s="11">
        <v>869</v>
      </c>
      <c r="E18" s="14">
        <v>17.399999999999999</v>
      </c>
      <c r="F18" s="14">
        <v>20</v>
      </c>
      <c r="G18" s="11">
        <v>3</v>
      </c>
      <c r="H18" s="11">
        <v>68</v>
      </c>
      <c r="I18" s="11">
        <v>5</v>
      </c>
      <c r="J18" s="11">
        <v>0.06</v>
      </c>
      <c r="K18" s="11">
        <v>1.3</v>
      </c>
      <c r="L18" s="11">
        <v>1.1000000000000001</v>
      </c>
      <c r="M18" s="11">
        <v>18.899999999999999</v>
      </c>
      <c r="N18" s="11">
        <v>1.7</v>
      </c>
      <c r="O18" s="11">
        <v>18</v>
      </c>
      <c r="P18" s="11">
        <v>2.4</v>
      </c>
      <c r="Q18" s="11">
        <v>34</v>
      </c>
      <c r="R18" s="11">
        <v>10</v>
      </c>
    </row>
    <row r="19" spans="1:19">
      <c r="A19" s="10" t="s">
        <v>95</v>
      </c>
      <c r="B19" s="10" t="s">
        <v>93</v>
      </c>
      <c r="C19" s="11">
        <v>14</v>
      </c>
      <c r="D19" s="11">
        <v>1160</v>
      </c>
      <c r="E19" s="14">
        <v>18.600000000000001</v>
      </c>
      <c r="F19" s="14">
        <v>17</v>
      </c>
      <c r="G19" s="11">
        <v>4</v>
      </c>
      <c r="H19" s="11">
        <v>68</v>
      </c>
      <c r="I19" s="11">
        <v>5</v>
      </c>
      <c r="J19" s="11">
        <v>7.0000000000000007E-2</v>
      </c>
    </row>
    <row r="20" spans="1:19">
      <c r="A20" s="10" t="s">
        <v>96</v>
      </c>
      <c r="B20" s="10" t="s">
        <v>91</v>
      </c>
      <c r="C20" s="11">
        <v>7</v>
      </c>
      <c r="D20" s="11">
        <v>841</v>
      </c>
      <c r="E20" s="11">
        <v>197</v>
      </c>
      <c r="F20" s="11">
        <v>234</v>
      </c>
      <c r="G20" s="11">
        <v>7</v>
      </c>
      <c r="H20" s="11">
        <v>432</v>
      </c>
      <c r="I20" s="11">
        <v>11</v>
      </c>
      <c r="J20" s="11">
        <v>0.5</v>
      </c>
      <c r="K20" s="11">
        <v>3</v>
      </c>
      <c r="L20" s="11">
        <v>1.5</v>
      </c>
      <c r="M20" s="11">
        <v>57.3</v>
      </c>
      <c r="N20" s="11">
        <v>2.1</v>
      </c>
      <c r="O20" s="11">
        <v>171</v>
      </c>
      <c r="P20" s="11">
        <v>7</v>
      </c>
      <c r="Q20" s="11">
        <v>980</v>
      </c>
      <c r="R20" s="11">
        <v>40</v>
      </c>
    </row>
    <row r="21" spans="1:19">
      <c r="A21" s="10" t="s">
        <v>97</v>
      </c>
      <c r="B21" s="10" t="s">
        <v>93</v>
      </c>
      <c r="C21" s="11">
        <v>9</v>
      </c>
      <c r="D21" s="11">
        <v>2506</v>
      </c>
      <c r="E21" s="11">
        <v>302</v>
      </c>
      <c r="F21" s="11">
        <v>121</v>
      </c>
      <c r="G21" s="11">
        <v>8</v>
      </c>
      <c r="H21" s="11">
        <v>342</v>
      </c>
      <c r="I21" s="11">
        <v>11</v>
      </c>
      <c r="J21" s="11">
        <v>0.75</v>
      </c>
    </row>
    <row r="23" spans="1:19">
      <c r="A23" s="12" t="s">
        <v>98</v>
      </c>
      <c r="L23" s="11">
        <f>1/0.0454</f>
        <v>22.026431718061673</v>
      </c>
    </row>
    <row r="24" spans="1:19">
      <c r="A24" s="12" t="s">
        <v>99</v>
      </c>
      <c r="L24" s="11">
        <f>1/0.0408</f>
        <v>24.509803921568626</v>
      </c>
    </row>
    <row r="25" spans="1:19" ht="15.75">
      <c r="A25" s="12" t="s">
        <v>214</v>
      </c>
      <c r="L25" s="11">
        <f>1/0.0276</f>
        <v>36.231884057971016</v>
      </c>
    </row>
    <row r="26" spans="1:19">
      <c r="A26" s="12" t="s">
        <v>100</v>
      </c>
      <c r="L26" s="11">
        <f>1/0.0112</f>
        <v>89.285714285714292</v>
      </c>
    </row>
    <row r="27" spans="1:19">
      <c r="A27" s="11" t="s">
        <v>1175</v>
      </c>
    </row>
    <row r="28" spans="1:19" ht="45" customHeight="1">
      <c r="A28" s="10" t="s">
        <v>101</v>
      </c>
      <c r="B28" s="13" t="s">
        <v>69</v>
      </c>
      <c r="C28" s="13" t="s">
        <v>70</v>
      </c>
      <c r="D28" s="13" t="s">
        <v>71</v>
      </c>
      <c r="E28" s="13" t="s">
        <v>72</v>
      </c>
      <c r="F28" s="13" t="s">
        <v>210</v>
      </c>
      <c r="G28" s="13" t="s">
        <v>73</v>
      </c>
      <c r="H28" s="13" t="s">
        <v>211</v>
      </c>
      <c r="I28" s="13" t="s">
        <v>212</v>
      </c>
      <c r="J28" s="13" t="s">
        <v>213</v>
      </c>
      <c r="K28" s="13" t="s">
        <v>74</v>
      </c>
      <c r="L28" s="13" t="s">
        <v>75</v>
      </c>
      <c r="M28" s="13" t="s">
        <v>76</v>
      </c>
      <c r="N28" s="13" t="s">
        <v>77</v>
      </c>
      <c r="O28" s="13" t="s">
        <v>78</v>
      </c>
      <c r="P28" s="13" t="s">
        <v>86</v>
      </c>
      <c r="Q28" s="13" t="s">
        <v>87</v>
      </c>
      <c r="R28" s="13" t="s">
        <v>88</v>
      </c>
      <c r="S28" s="13" t="s">
        <v>89</v>
      </c>
    </row>
    <row r="29" spans="1:19">
      <c r="A29" s="10" t="s">
        <v>102</v>
      </c>
      <c r="B29" s="10" t="s">
        <v>90</v>
      </c>
      <c r="C29" s="10" t="s">
        <v>91</v>
      </c>
      <c r="D29" s="11">
        <v>9</v>
      </c>
      <c r="E29" s="11">
        <v>31</v>
      </c>
      <c r="F29" s="11">
        <v>8.6</v>
      </c>
      <c r="G29" s="11">
        <v>284</v>
      </c>
      <c r="H29" s="11">
        <v>19</v>
      </c>
      <c r="I29" s="11">
        <v>454</v>
      </c>
      <c r="J29" s="11">
        <v>25</v>
      </c>
      <c r="K29" s="11">
        <v>0.09</v>
      </c>
      <c r="L29" s="11">
        <v>14.4</v>
      </c>
      <c r="M29" s="11">
        <v>11.6</v>
      </c>
      <c r="N29" s="11">
        <v>32.1</v>
      </c>
      <c r="O29" s="11">
        <v>1.2</v>
      </c>
      <c r="P29" s="11">
        <v>265</v>
      </c>
      <c r="Q29" s="11">
        <v>5</v>
      </c>
      <c r="R29" s="11">
        <v>851</v>
      </c>
      <c r="S29" s="11">
        <v>34</v>
      </c>
    </row>
    <row r="30" spans="1:19">
      <c r="A30" s="10"/>
      <c r="B30" s="10" t="s">
        <v>103</v>
      </c>
      <c r="C30" s="10" t="s">
        <v>93</v>
      </c>
      <c r="D30" s="11">
        <v>17</v>
      </c>
      <c r="E30" s="11">
        <v>453</v>
      </c>
      <c r="F30" s="11">
        <v>100</v>
      </c>
      <c r="G30" s="11">
        <v>230</v>
      </c>
      <c r="H30" s="11">
        <v>8</v>
      </c>
      <c r="I30" s="11">
        <v>363</v>
      </c>
      <c r="J30" s="11">
        <v>10</v>
      </c>
      <c r="K30" s="11">
        <v>1.06</v>
      </c>
    </row>
    <row r="31" spans="1:19" s="12" customFormat="1">
      <c r="A31" s="12" t="s">
        <v>102</v>
      </c>
      <c r="B31" s="12" t="s">
        <v>1459</v>
      </c>
      <c r="C31" s="12" t="s">
        <v>91</v>
      </c>
      <c r="D31" s="12">
        <v>6</v>
      </c>
      <c r="E31" s="12">
        <v>122</v>
      </c>
      <c r="F31" s="12">
        <v>38.799999999999997</v>
      </c>
      <c r="G31" s="12">
        <v>318</v>
      </c>
      <c r="H31" s="12">
        <v>10</v>
      </c>
      <c r="I31" s="12">
        <v>460</v>
      </c>
      <c r="J31" s="12">
        <v>12</v>
      </c>
      <c r="K31" s="12">
        <v>0.44</v>
      </c>
      <c r="L31" s="12">
        <v>4</v>
      </c>
      <c r="M31" s="12">
        <v>3.8</v>
      </c>
      <c r="N31" s="12">
        <v>24.6</v>
      </c>
      <c r="O31" s="12">
        <v>0.9</v>
      </c>
      <c r="P31" s="12">
        <v>310</v>
      </c>
      <c r="Q31" s="12">
        <v>4</v>
      </c>
      <c r="R31" s="12">
        <v>764</v>
      </c>
      <c r="S31" s="12">
        <v>28</v>
      </c>
    </row>
    <row r="32" spans="1:19" s="12" customFormat="1">
      <c r="B32" s="12" t="s">
        <v>104</v>
      </c>
      <c r="C32" s="12" t="s">
        <v>93</v>
      </c>
      <c r="D32" s="12">
        <v>9</v>
      </c>
      <c r="E32" s="12">
        <v>493</v>
      </c>
      <c r="F32" s="12">
        <v>148</v>
      </c>
      <c r="G32" s="12">
        <v>301</v>
      </c>
      <c r="H32" s="12">
        <v>7</v>
      </c>
      <c r="I32" s="12">
        <v>444</v>
      </c>
      <c r="J32" s="12">
        <v>13</v>
      </c>
      <c r="K32" s="12">
        <v>1.67</v>
      </c>
    </row>
    <row r="33" spans="1:19">
      <c r="A33" s="10" t="s">
        <v>105</v>
      </c>
      <c r="B33" s="10" t="s">
        <v>90</v>
      </c>
      <c r="C33" s="10" t="s">
        <v>91</v>
      </c>
      <c r="D33" s="11">
        <v>4</v>
      </c>
      <c r="E33" s="11">
        <v>80</v>
      </c>
      <c r="F33" s="11">
        <v>14.6</v>
      </c>
      <c r="G33" s="11">
        <v>183</v>
      </c>
      <c r="H33" s="11">
        <v>8</v>
      </c>
      <c r="I33" s="11">
        <v>334</v>
      </c>
      <c r="J33" s="11">
        <v>22</v>
      </c>
      <c r="K33" s="11">
        <v>0.09</v>
      </c>
      <c r="L33" s="11">
        <v>3</v>
      </c>
      <c r="M33" s="11">
        <v>2.2999999999999998</v>
      </c>
      <c r="N33" s="11">
        <v>51.1</v>
      </c>
      <c r="O33" s="11">
        <v>3</v>
      </c>
      <c r="P33" s="11">
        <v>162</v>
      </c>
      <c r="Q33" s="11">
        <v>3</v>
      </c>
      <c r="R33" s="11">
        <v>817</v>
      </c>
      <c r="S33" s="11">
        <v>50</v>
      </c>
    </row>
    <row r="34" spans="1:19">
      <c r="B34" s="10" t="s">
        <v>106</v>
      </c>
      <c r="C34" s="10" t="s">
        <v>93</v>
      </c>
      <c r="D34" s="11">
        <v>12</v>
      </c>
      <c r="E34" s="11">
        <v>237</v>
      </c>
      <c r="F34" s="11">
        <v>33.4</v>
      </c>
      <c r="G34" s="11">
        <v>140</v>
      </c>
      <c r="H34" s="11">
        <v>4</v>
      </c>
      <c r="I34" s="11">
        <v>240</v>
      </c>
      <c r="J34" s="11">
        <v>7</v>
      </c>
      <c r="K34" s="11">
        <v>0.2</v>
      </c>
    </row>
    <row r="35" spans="1:19" s="12" customFormat="1">
      <c r="A35" s="12" t="s">
        <v>105</v>
      </c>
      <c r="B35" s="12" t="s">
        <v>1459</v>
      </c>
      <c r="C35" s="12" t="s">
        <v>91</v>
      </c>
      <c r="D35" s="12">
        <v>6</v>
      </c>
      <c r="E35" s="12">
        <v>218</v>
      </c>
      <c r="F35" s="29">
        <v>51</v>
      </c>
      <c r="G35" s="12">
        <v>235</v>
      </c>
      <c r="H35" s="12">
        <v>7</v>
      </c>
      <c r="I35" s="12">
        <v>367</v>
      </c>
      <c r="J35" s="12">
        <v>18</v>
      </c>
      <c r="K35" s="12">
        <v>0.43</v>
      </c>
      <c r="L35" s="12">
        <v>3.1</v>
      </c>
      <c r="M35" s="12">
        <v>1.9</v>
      </c>
      <c r="N35" s="12">
        <v>48.1</v>
      </c>
      <c r="O35" s="12">
        <v>2.6</v>
      </c>
      <c r="P35" s="12">
        <v>194</v>
      </c>
      <c r="Q35" s="12">
        <v>3</v>
      </c>
      <c r="R35" s="12">
        <v>919</v>
      </c>
      <c r="S35" s="12">
        <v>42</v>
      </c>
    </row>
    <row r="36" spans="1:19" s="12" customFormat="1">
      <c r="B36" s="12" t="s">
        <v>106</v>
      </c>
      <c r="C36" s="12" t="s">
        <v>93</v>
      </c>
      <c r="D36" s="12">
        <v>17</v>
      </c>
      <c r="E36" s="12">
        <v>676</v>
      </c>
      <c r="F36" s="29">
        <v>96</v>
      </c>
      <c r="G36" s="12">
        <v>143</v>
      </c>
      <c r="H36" s="12">
        <v>4</v>
      </c>
      <c r="I36" s="12">
        <v>251</v>
      </c>
      <c r="J36" s="12">
        <v>6</v>
      </c>
      <c r="K36" s="12">
        <v>0.81</v>
      </c>
    </row>
    <row r="37" spans="1:19">
      <c r="A37" s="10" t="s">
        <v>105</v>
      </c>
      <c r="B37" s="10" t="s">
        <v>96</v>
      </c>
      <c r="C37" s="10" t="s">
        <v>91</v>
      </c>
      <c r="D37" s="11">
        <v>12</v>
      </c>
      <c r="E37" s="11">
        <v>177</v>
      </c>
      <c r="F37" s="11">
        <v>38</v>
      </c>
      <c r="G37" s="11">
        <v>215</v>
      </c>
      <c r="H37" s="11">
        <v>4</v>
      </c>
      <c r="I37" s="11">
        <v>365</v>
      </c>
      <c r="J37" s="11">
        <v>7</v>
      </c>
      <c r="K37" s="11">
        <v>0.26</v>
      </c>
      <c r="L37" s="11">
        <v>3.4</v>
      </c>
      <c r="M37" s="11">
        <v>3.8</v>
      </c>
      <c r="N37" s="11">
        <v>74</v>
      </c>
      <c r="O37" s="11">
        <v>1.3</v>
      </c>
      <c r="P37" s="11">
        <v>226</v>
      </c>
      <c r="Q37" s="11">
        <v>1</v>
      </c>
      <c r="R37" s="11">
        <v>1674</v>
      </c>
      <c r="S37" s="11">
        <v>25</v>
      </c>
    </row>
    <row r="38" spans="1:19">
      <c r="B38" s="10" t="s">
        <v>107</v>
      </c>
      <c r="C38" s="10" t="s">
        <v>93</v>
      </c>
      <c r="D38" s="11">
        <v>20</v>
      </c>
      <c r="E38" s="11">
        <v>598</v>
      </c>
      <c r="F38" s="11">
        <v>145</v>
      </c>
      <c r="G38" s="11">
        <v>245</v>
      </c>
      <c r="H38" s="11">
        <v>3</v>
      </c>
      <c r="I38" s="11">
        <v>425</v>
      </c>
      <c r="J38" s="11">
        <v>6</v>
      </c>
      <c r="K38" s="11">
        <v>0.99</v>
      </c>
    </row>
    <row r="40" spans="1:19">
      <c r="A40" s="12" t="s">
        <v>108</v>
      </c>
    </row>
    <row r="41" spans="1:19">
      <c r="A41" s="12" t="s">
        <v>109</v>
      </c>
    </row>
    <row r="42" spans="1:19">
      <c r="A42" s="12" t="s">
        <v>110</v>
      </c>
    </row>
    <row r="43" spans="1:19">
      <c r="A43" s="12" t="s">
        <v>198</v>
      </c>
    </row>
    <row r="44" spans="1:19">
      <c r="A44" s="10" t="s">
        <v>199</v>
      </c>
    </row>
    <row r="45" spans="1:19">
      <c r="A45" s="10" t="s">
        <v>200</v>
      </c>
    </row>
    <row r="46" spans="1:19">
      <c r="A46" s="10" t="s">
        <v>1438</v>
      </c>
      <c r="B46" s="120" t="s">
        <v>201</v>
      </c>
      <c r="C46" s="121"/>
      <c r="D46" s="121"/>
    </row>
    <row r="47" spans="1:19">
      <c r="B47" s="10" t="s">
        <v>202</v>
      </c>
      <c r="C47" s="10" t="s">
        <v>203</v>
      </c>
      <c r="D47" s="10" t="s">
        <v>204</v>
      </c>
    </row>
    <row r="48" spans="1:19">
      <c r="A48" s="10" t="s">
        <v>90</v>
      </c>
      <c r="B48" s="11">
        <v>4.33</v>
      </c>
      <c r="C48" s="11">
        <v>3.83</v>
      </c>
      <c r="D48" s="11">
        <v>2.8</v>
      </c>
    </row>
    <row r="49" spans="1:4" s="12" customFormat="1">
      <c r="A49" s="12" t="s">
        <v>1459</v>
      </c>
      <c r="B49" s="12">
        <v>4.3499999999999996</v>
      </c>
      <c r="C49" s="12">
        <v>3.67</v>
      </c>
      <c r="D49" s="12">
        <v>2.36</v>
      </c>
    </row>
    <row r="50" spans="1:4">
      <c r="A50" s="10" t="s">
        <v>7</v>
      </c>
      <c r="B50" s="15" t="s">
        <v>205</v>
      </c>
      <c r="C50" s="11">
        <v>3.56</v>
      </c>
      <c r="D50" s="11">
        <v>3.07</v>
      </c>
    </row>
    <row r="51" spans="1:4">
      <c r="A51" s="10" t="s">
        <v>4</v>
      </c>
      <c r="B51" s="11">
        <v>3.83</v>
      </c>
      <c r="C51" s="11">
        <v>2.95</v>
      </c>
      <c r="D51" s="11">
        <v>2.74</v>
      </c>
    </row>
    <row r="52" spans="1:4">
      <c r="A52" s="10" t="s">
        <v>96</v>
      </c>
      <c r="B52" s="15" t="s">
        <v>205</v>
      </c>
      <c r="C52" s="11">
        <v>8</v>
      </c>
      <c r="D52" s="15" t="s">
        <v>205</v>
      </c>
    </row>
    <row r="53" spans="1:4">
      <c r="A53" s="10" t="s">
        <v>206</v>
      </c>
      <c r="B53" s="11">
        <v>9.67</v>
      </c>
      <c r="C53" s="15" t="s">
        <v>205</v>
      </c>
      <c r="D53" s="15" t="s">
        <v>205</v>
      </c>
    </row>
    <row r="55" spans="1:4">
      <c r="A55" s="10" t="s">
        <v>207</v>
      </c>
    </row>
    <row r="56" spans="1:4">
      <c r="A56" s="10" t="s">
        <v>208</v>
      </c>
    </row>
    <row r="57" spans="1:4">
      <c r="A57" s="10"/>
    </row>
  </sheetData>
  <mergeCells count="1">
    <mergeCell ref="B46:D4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B56"/>
  <sheetViews>
    <sheetView topLeftCell="A25" workbookViewId="0">
      <selection activeCell="A49" sqref="A49"/>
    </sheetView>
  </sheetViews>
  <sheetFormatPr baseColWidth="10" defaultRowHeight="12.75"/>
  <cols>
    <col min="1" max="1" width="22" style="11" customWidth="1"/>
    <col min="2" max="2" width="21.7109375" style="11" customWidth="1"/>
    <col min="3" max="3" width="20.28515625" style="11" bestFit="1" customWidth="1"/>
    <col min="4" max="4" width="16.42578125" style="11" bestFit="1" customWidth="1"/>
    <col min="5" max="5" width="14.42578125" style="11" customWidth="1"/>
    <col min="6" max="6" width="15.42578125" style="11" bestFit="1" customWidth="1"/>
    <col min="7" max="16384" width="11.42578125" style="11"/>
  </cols>
  <sheetData>
    <row r="1" spans="1:2" ht="15.75">
      <c r="A1" s="16" t="s">
        <v>215</v>
      </c>
    </row>
    <row r="3" spans="1:2">
      <c r="A3" s="12" t="s">
        <v>274</v>
      </c>
    </row>
    <row r="4" spans="1:2">
      <c r="A4" s="10" t="s">
        <v>275</v>
      </c>
    </row>
    <row r="5" spans="1:2">
      <c r="A5" s="10" t="s">
        <v>276</v>
      </c>
    </row>
    <row r="6" spans="1:2">
      <c r="A6" s="10" t="s">
        <v>277</v>
      </c>
    </row>
    <row r="7" spans="1:2">
      <c r="A7" s="12" t="s">
        <v>278</v>
      </c>
      <c r="B7" s="12" t="s">
        <v>279</v>
      </c>
    </row>
    <row r="8" spans="1:2">
      <c r="A8" s="10" t="s">
        <v>280</v>
      </c>
      <c r="B8" s="17">
        <v>86.4</v>
      </c>
    </row>
    <row r="9" spans="1:2">
      <c r="A9" s="10" t="s">
        <v>281</v>
      </c>
      <c r="B9" s="17">
        <v>81.5</v>
      </c>
    </row>
    <row r="10" spans="1:2">
      <c r="A10" s="10" t="s">
        <v>282</v>
      </c>
      <c r="B10" s="17">
        <v>51.8</v>
      </c>
    </row>
    <row r="11" spans="1:2">
      <c r="A11" s="10" t="s">
        <v>283</v>
      </c>
      <c r="B11" s="17">
        <v>48.2</v>
      </c>
    </row>
    <row r="12" spans="1:2">
      <c r="A12" s="10" t="s">
        <v>1429</v>
      </c>
      <c r="B12" s="17">
        <v>40.299999999999997</v>
      </c>
    </row>
    <row r="13" spans="1:2">
      <c r="A13" s="10" t="s">
        <v>284</v>
      </c>
      <c r="B13" s="17">
        <v>22.8</v>
      </c>
    </row>
    <row r="14" spans="1:2">
      <c r="A14" s="10" t="s">
        <v>285</v>
      </c>
      <c r="B14" s="17">
        <v>403.1</v>
      </c>
    </row>
    <row r="15" spans="1:2" s="30" customFormat="1">
      <c r="A15" s="30" t="s">
        <v>286</v>
      </c>
      <c r="B15" s="31">
        <v>186</v>
      </c>
    </row>
    <row r="16" spans="1:2">
      <c r="A16" s="10" t="s">
        <v>287</v>
      </c>
      <c r="B16" s="17">
        <v>94.1</v>
      </c>
    </row>
    <row r="17" spans="1:2" s="12" customFormat="1">
      <c r="A17" s="12" t="s">
        <v>1434</v>
      </c>
      <c r="B17" s="18">
        <v>75</v>
      </c>
    </row>
    <row r="18" spans="1:2">
      <c r="A18" s="10" t="s">
        <v>288</v>
      </c>
      <c r="B18" s="17">
        <v>58.7</v>
      </c>
    </row>
    <row r="19" spans="1:2">
      <c r="A19" s="10" t="s">
        <v>289</v>
      </c>
      <c r="B19" s="17">
        <v>47.2</v>
      </c>
    </row>
    <row r="20" spans="1:2">
      <c r="A20" s="10" t="s">
        <v>1430</v>
      </c>
      <c r="B20" s="17">
        <v>43.4</v>
      </c>
    </row>
    <row r="21" spans="1:2">
      <c r="A21" s="10" t="s">
        <v>290</v>
      </c>
      <c r="B21" s="17">
        <v>31.8</v>
      </c>
    </row>
    <row r="22" spans="1:2">
      <c r="A22" s="10" t="s">
        <v>291</v>
      </c>
      <c r="B22" s="17">
        <v>30.1</v>
      </c>
    </row>
    <row r="23" spans="1:2">
      <c r="A23" s="10" t="s">
        <v>292</v>
      </c>
      <c r="B23" s="17">
        <v>26.6</v>
      </c>
    </row>
    <row r="26" spans="1:2">
      <c r="A26" s="12" t="s">
        <v>293</v>
      </c>
    </row>
    <row r="27" spans="1:2" ht="15.75">
      <c r="A27" s="10" t="s">
        <v>305</v>
      </c>
    </row>
    <row r="28" spans="1:2">
      <c r="A28" s="10" t="s">
        <v>294</v>
      </c>
    </row>
    <row r="29" spans="1:2" ht="15.75">
      <c r="A29" s="12" t="s">
        <v>278</v>
      </c>
      <c r="B29" s="12" t="s">
        <v>306</v>
      </c>
    </row>
    <row r="30" spans="1:2">
      <c r="A30" s="10" t="s">
        <v>285</v>
      </c>
      <c r="B30" s="11">
        <v>50.4</v>
      </c>
    </row>
    <row r="31" spans="1:2">
      <c r="A31" s="10" t="s">
        <v>286</v>
      </c>
      <c r="B31" s="11">
        <v>45.1</v>
      </c>
    </row>
    <row r="32" spans="1:2">
      <c r="A32" s="10" t="s">
        <v>287</v>
      </c>
      <c r="B32" s="11">
        <v>36.6</v>
      </c>
    </row>
    <row r="33" spans="1:2" s="12" customFormat="1">
      <c r="A33" s="12" t="s">
        <v>1434</v>
      </c>
      <c r="B33" s="12">
        <v>35.5</v>
      </c>
    </row>
    <row r="34" spans="1:2">
      <c r="A34" s="10" t="s">
        <v>288</v>
      </c>
      <c r="B34" s="11">
        <v>23.4</v>
      </c>
    </row>
    <row r="35" spans="1:2">
      <c r="A35" s="10" t="s">
        <v>281</v>
      </c>
      <c r="B35" s="11">
        <v>22.6</v>
      </c>
    </row>
    <row r="36" spans="1:2">
      <c r="A36" s="10" t="s">
        <v>292</v>
      </c>
      <c r="B36" s="11">
        <v>21.3</v>
      </c>
    </row>
    <row r="37" spans="1:2">
      <c r="A37" s="10" t="s">
        <v>290</v>
      </c>
      <c r="B37" s="11">
        <v>20.6</v>
      </c>
    </row>
    <row r="38" spans="1:2">
      <c r="A38" s="10" t="s">
        <v>289</v>
      </c>
      <c r="B38" s="11">
        <v>11.8</v>
      </c>
    </row>
    <row r="39" spans="1:2">
      <c r="A39" s="10" t="s">
        <v>1430</v>
      </c>
      <c r="B39" s="11">
        <v>19.600000000000001</v>
      </c>
    </row>
    <row r="40" spans="1:2">
      <c r="A40" s="10" t="s">
        <v>291</v>
      </c>
      <c r="B40" s="11">
        <v>16.100000000000001</v>
      </c>
    </row>
    <row r="41" spans="1:2">
      <c r="A41" s="10" t="s">
        <v>295</v>
      </c>
      <c r="B41" s="11">
        <v>13.2</v>
      </c>
    </row>
    <row r="42" spans="1:2">
      <c r="A42" s="10" t="s">
        <v>296</v>
      </c>
      <c r="B42" s="11">
        <v>11.8</v>
      </c>
    </row>
    <row r="43" spans="1:2">
      <c r="A43" s="10" t="s">
        <v>282</v>
      </c>
      <c r="B43" s="11">
        <v>9.5</v>
      </c>
    </row>
    <row r="44" spans="1:2">
      <c r="A44" s="10" t="s">
        <v>1429</v>
      </c>
      <c r="B44" s="11">
        <v>7.3</v>
      </c>
    </row>
    <row r="45" spans="1:2">
      <c r="A45" s="10" t="s">
        <v>284</v>
      </c>
      <c r="B45" s="11">
        <v>5.0999999999999996</v>
      </c>
    </row>
    <row r="48" spans="1:2">
      <c r="A48" s="10" t="s">
        <v>298</v>
      </c>
    </row>
    <row r="49" spans="1:1">
      <c r="A49" s="10" t="s">
        <v>299</v>
      </c>
    </row>
    <row r="52" spans="1:1">
      <c r="A52" s="10" t="s">
        <v>300</v>
      </c>
    </row>
    <row r="53" spans="1:1">
      <c r="A53" s="10" t="s">
        <v>301</v>
      </c>
    </row>
    <row r="54" spans="1:1">
      <c r="A54" s="10" t="s">
        <v>302</v>
      </c>
    </row>
    <row r="55" spans="1:1">
      <c r="A55" s="10" t="s">
        <v>303</v>
      </c>
    </row>
    <row r="56" spans="1:1">
      <c r="A56" s="10" t="s">
        <v>304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2:L119"/>
  <sheetViews>
    <sheetView topLeftCell="A90" workbookViewId="0">
      <selection activeCell="A103" sqref="A103"/>
    </sheetView>
  </sheetViews>
  <sheetFormatPr baseColWidth="10" defaultRowHeight="12.75"/>
  <cols>
    <col min="1" max="1" width="24.5703125" style="2" customWidth="1"/>
    <col min="2" max="2" width="11.28515625" style="2" bestFit="1" customWidth="1"/>
    <col min="3" max="3" width="11.42578125" style="2"/>
    <col min="4" max="4" width="20.42578125" style="2" bestFit="1" customWidth="1"/>
    <col min="5" max="5" width="13.85546875" style="2" bestFit="1" customWidth="1"/>
    <col min="6" max="6" width="13.7109375" style="2" bestFit="1" customWidth="1"/>
    <col min="7" max="7" width="11.42578125" style="2"/>
    <col min="8" max="8" width="17.28515625" style="2" bestFit="1" customWidth="1"/>
    <col min="9" max="10" width="11.42578125" style="2"/>
    <col min="11" max="11" width="18.28515625" style="2" customWidth="1"/>
    <col min="12" max="16384" width="11.42578125" style="2"/>
  </cols>
  <sheetData>
    <row r="2" spans="1:6">
      <c r="A2" s="5" t="s">
        <v>307</v>
      </c>
      <c r="B2" s="3" t="s">
        <v>308</v>
      </c>
    </row>
    <row r="3" spans="1:6">
      <c r="A3" s="3" t="s">
        <v>309</v>
      </c>
    </row>
    <row r="4" spans="1:6">
      <c r="A4" s="3" t="s">
        <v>515</v>
      </c>
    </row>
    <row r="5" spans="1:6">
      <c r="A5" s="3" t="s">
        <v>310</v>
      </c>
    </row>
    <row r="6" spans="1:6">
      <c r="A6" s="3" t="s">
        <v>311</v>
      </c>
    </row>
    <row r="7" spans="1:6">
      <c r="A7" s="3"/>
      <c r="B7" s="3" t="s">
        <v>312</v>
      </c>
    </row>
    <row r="8" spans="1:6">
      <c r="A8" s="3"/>
      <c r="B8" s="3" t="s">
        <v>313</v>
      </c>
      <c r="C8" s="3" t="s">
        <v>314</v>
      </c>
      <c r="D8" s="3" t="s">
        <v>315</v>
      </c>
      <c r="E8" s="3" t="s">
        <v>316</v>
      </c>
      <c r="F8" s="3" t="s">
        <v>329</v>
      </c>
    </row>
    <row r="9" spans="1:6">
      <c r="A9" s="3" t="s">
        <v>330</v>
      </c>
      <c r="B9" s="3" t="s">
        <v>331</v>
      </c>
      <c r="C9" s="3" t="s">
        <v>332</v>
      </c>
      <c r="D9" s="3" t="s">
        <v>333</v>
      </c>
      <c r="E9" s="3" t="s">
        <v>334</v>
      </c>
      <c r="F9" s="3" t="s">
        <v>335</v>
      </c>
    </row>
    <row r="10" spans="1:6">
      <c r="A10" s="3"/>
    </row>
    <row r="11" spans="1:6">
      <c r="A11" s="3"/>
    </row>
    <row r="13" spans="1:6">
      <c r="A13" s="5" t="s">
        <v>336</v>
      </c>
      <c r="B13" s="3" t="s">
        <v>337</v>
      </c>
    </row>
    <row r="14" spans="1:6" ht="15.75">
      <c r="A14" s="3" t="s">
        <v>500</v>
      </c>
    </row>
    <row r="16" spans="1:6">
      <c r="A16" s="5" t="s">
        <v>338</v>
      </c>
      <c r="B16" s="3" t="s">
        <v>339</v>
      </c>
    </row>
    <row r="17" spans="1:2">
      <c r="A17" s="3" t="s">
        <v>340</v>
      </c>
    </row>
    <row r="19" spans="1:2">
      <c r="A19" s="5" t="s">
        <v>341</v>
      </c>
      <c r="B19" s="3" t="s">
        <v>342</v>
      </c>
    </row>
    <row r="20" spans="1:2">
      <c r="A20" s="3" t="s">
        <v>343</v>
      </c>
    </row>
    <row r="21" spans="1:2">
      <c r="A21" s="3" t="s">
        <v>344</v>
      </c>
    </row>
    <row r="22" spans="1:2">
      <c r="A22" s="3" t="s">
        <v>345</v>
      </c>
    </row>
    <row r="23" spans="1:2">
      <c r="A23" s="3"/>
    </row>
    <row r="24" spans="1:2">
      <c r="A24" s="5" t="s">
        <v>346</v>
      </c>
      <c r="B24" s="3" t="s">
        <v>347</v>
      </c>
    </row>
    <row r="25" spans="1:2">
      <c r="A25" s="3" t="s">
        <v>348</v>
      </c>
    </row>
    <row r="26" spans="1:2">
      <c r="A26" s="3" t="s">
        <v>349</v>
      </c>
    </row>
    <row r="27" spans="1:2">
      <c r="A27" s="3"/>
    </row>
    <row r="28" spans="1:2">
      <c r="A28" s="5" t="s">
        <v>350</v>
      </c>
      <c r="B28" s="3" t="s">
        <v>351</v>
      </c>
    </row>
    <row r="29" spans="1:2">
      <c r="A29" s="3" t="s">
        <v>352</v>
      </c>
    </row>
    <row r="30" spans="1:2">
      <c r="A30" s="3" t="s">
        <v>353</v>
      </c>
    </row>
    <row r="31" spans="1:2">
      <c r="A31" s="3"/>
    </row>
    <row r="32" spans="1:2">
      <c r="A32" s="5" t="s">
        <v>354</v>
      </c>
      <c r="B32" s="3" t="s">
        <v>355</v>
      </c>
    </row>
    <row r="33" spans="1:9">
      <c r="A33" s="3" t="s">
        <v>356</v>
      </c>
    </row>
    <row r="34" spans="1:9">
      <c r="A34" s="3" t="s">
        <v>357</v>
      </c>
      <c r="H34" s="19" t="s">
        <v>358</v>
      </c>
      <c r="I34" s="19"/>
    </row>
    <row r="35" spans="1:9">
      <c r="A35" s="3" t="s">
        <v>359</v>
      </c>
      <c r="B35" s="3" t="s">
        <v>360</v>
      </c>
      <c r="C35" s="3" t="s">
        <v>361</v>
      </c>
      <c r="D35" s="3" t="s">
        <v>362</v>
      </c>
      <c r="E35" s="3" t="s">
        <v>363</v>
      </c>
      <c r="F35" s="3" t="s">
        <v>364</v>
      </c>
    </row>
    <row r="36" spans="1:9">
      <c r="A36" s="3" t="s">
        <v>7</v>
      </c>
      <c r="B36" s="2">
        <v>20</v>
      </c>
      <c r="C36" s="2">
        <v>5</v>
      </c>
      <c r="D36" s="3" t="s">
        <v>365</v>
      </c>
      <c r="E36" s="2">
        <v>3.6</v>
      </c>
      <c r="F36" s="2">
        <v>1.4</v>
      </c>
    </row>
    <row r="37" spans="1:9">
      <c r="A37" s="3" t="s">
        <v>3</v>
      </c>
      <c r="B37" s="2">
        <v>33</v>
      </c>
      <c r="C37" s="3" t="s">
        <v>366</v>
      </c>
      <c r="D37" s="3" t="s">
        <v>367</v>
      </c>
      <c r="E37" s="2">
        <v>20</v>
      </c>
      <c r="F37" s="2">
        <v>3</v>
      </c>
    </row>
    <row r="38" spans="1:9">
      <c r="A38" s="3" t="s">
        <v>4</v>
      </c>
      <c r="B38" s="2">
        <v>33</v>
      </c>
      <c r="C38" s="3" t="s">
        <v>366</v>
      </c>
      <c r="D38" s="3" t="s">
        <v>367</v>
      </c>
      <c r="E38" s="2">
        <v>20</v>
      </c>
      <c r="F38" s="2">
        <v>2</v>
      </c>
    </row>
    <row r="39" spans="1:9">
      <c r="A39" s="3" t="s">
        <v>368</v>
      </c>
      <c r="B39" s="2">
        <v>23</v>
      </c>
      <c r="C39" s="3" t="s">
        <v>369</v>
      </c>
      <c r="D39" s="3" t="s">
        <v>370</v>
      </c>
      <c r="E39" s="3" t="s">
        <v>371</v>
      </c>
    </row>
    <row r="40" spans="1:9">
      <c r="A40" s="3" t="s">
        <v>7</v>
      </c>
      <c r="B40" s="2">
        <v>23</v>
      </c>
      <c r="C40" s="3" t="s">
        <v>369</v>
      </c>
      <c r="D40" s="3" t="s">
        <v>372</v>
      </c>
      <c r="E40" s="3" t="s">
        <v>373</v>
      </c>
    </row>
    <row r="41" spans="1:9">
      <c r="A41" s="3" t="s">
        <v>1458</v>
      </c>
      <c r="B41" s="2">
        <v>23</v>
      </c>
      <c r="C41" s="3" t="s">
        <v>369</v>
      </c>
      <c r="E41" s="3" t="s">
        <v>374</v>
      </c>
    </row>
    <row r="42" spans="1:9">
      <c r="A42" s="3" t="s">
        <v>90</v>
      </c>
      <c r="B42" s="2">
        <v>23</v>
      </c>
      <c r="C42" s="3" t="s">
        <v>369</v>
      </c>
      <c r="E42" s="3" t="s">
        <v>375</v>
      </c>
    </row>
    <row r="43" spans="1:9">
      <c r="A43" s="3" t="s">
        <v>7</v>
      </c>
      <c r="B43" s="2">
        <v>17</v>
      </c>
      <c r="C43" s="2">
        <v>5</v>
      </c>
      <c r="D43" s="3" t="s">
        <v>376</v>
      </c>
      <c r="E43" s="2">
        <v>24</v>
      </c>
      <c r="F43" s="2">
        <v>6</v>
      </c>
    </row>
    <row r="44" spans="1:9">
      <c r="A44" s="3"/>
    </row>
    <row r="46" spans="1:9">
      <c r="A46" s="5" t="s">
        <v>377</v>
      </c>
      <c r="B46" s="3" t="s">
        <v>378</v>
      </c>
    </row>
    <row r="47" spans="1:9">
      <c r="A47" s="3" t="s">
        <v>379</v>
      </c>
    </row>
    <row r="48" spans="1:9">
      <c r="A48" s="3" t="s">
        <v>380</v>
      </c>
      <c r="H48" s="19" t="s">
        <v>358</v>
      </c>
      <c r="I48" s="19"/>
    </row>
    <row r="49" spans="1:8">
      <c r="A49" s="3" t="s">
        <v>359</v>
      </c>
      <c r="B49" s="3" t="s">
        <v>360</v>
      </c>
      <c r="C49" s="3" t="s">
        <v>361</v>
      </c>
      <c r="D49" s="3" t="s">
        <v>362</v>
      </c>
      <c r="E49" s="3"/>
      <c r="F49" s="3" t="s">
        <v>381</v>
      </c>
    </row>
    <row r="50" spans="1:8">
      <c r="A50" s="3" t="s">
        <v>7</v>
      </c>
      <c r="B50" s="2">
        <v>20</v>
      </c>
      <c r="C50" s="2">
        <v>5</v>
      </c>
      <c r="D50" s="3" t="s">
        <v>365</v>
      </c>
      <c r="E50" s="3" t="s">
        <v>382</v>
      </c>
      <c r="F50" s="3">
        <v>3.4</v>
      </c>
    </row>
    <row r="51" spans="1:8">
      <c r="A51" s="3"/>
      <c r="B51" s="3"/>
      <c r="C51" s="3"/>
      <c r="D51" s="3"/>
      <c r="E51" s="3" t="s">
        <v>383</v>
      </c>
      <c r="F51" s="3">
        <v>3.2</v>
      </c>
    </row>
    <row r="52" spans="1:8">
      <c r="A52" s="3"/>
      <c r="B52" s="3"/>
      <c r="C52" s="3"/>
      <c r="D52" s="3"/>
      <c r="E52" s="3" t="s">
        <v>384</v>
      </c>
      <c r="F52" s="3">
        <v>16.899999999999999</v>
      </c>
    </row>
    <row r="53" spans="1:8">
      <c r="E53" s="3" t="s">
        <v>385</v>
      </c>
      <c r="F53" s="2">
        <v>23.5</v>
      </c>
    </row>
    <row r="54" spans="1:8">
      <c r="A54" s="3" t="s">
        <v>7</v>
      </c>
      <c r="B54" s="2">
        <v>35</v>
      </c>
      <c r="C54" s="20" t="s">
        <v>386</v>
      </c>
      <c r="D54" s="3" t="s">
        <v>387</v>
      </c>
      <c r="E54" s="3"/>
      <c r="F54" s="2">
        <v>36</v>
      </c>
    </row>
    <row r="55" spans="1:8">
      <c r="A55" s="3" t="s">
        <v>3</v>
      </c>
      <c r="B55" s="2">
        <v>33</v>
      </c>
      <c r="C55" s="3" t="s">
        <v>366</v>
      </c>
      <c r="D55" s="3" t="s">
        <v>367</v>
      </c>
      <c r="F55" s="2">
        <v>32</v>
      </c>
    </row>
    <row r="56" spans="1:8">
      <c r="A56" s="3" t="s">
        <v>4</v>
      </c>
      <c r="B56" s="2">
        <v>33</v>
      </c>
      <c r="C56" s="3" t="s">
        <v>366</v>
      </c>
      <c r="D56" s="3" t="s">
        <v>367</v>
      </c>
      <c r="F56" s="2">
        <v>52</v>
      </c>
    </row>
    <row r="57" spans="1:8">
      <c r="A57" s="3" t="s">
        <v>368</v>
      </c>
      <c r="B57" s="2">
        <v>23</v>
      </c>
      <c r="C57" s="3" t="s">
        <v>369</v>
      </c>
      <c r="D57" s="3" t="s">
        <v>370</v>
      </c>
      <c r="E57" s="3"/>
      <c r="F57" s="2">
        <v>9</v>
      </c>
    </row>
    <row r="58" spans="1:8">
      <c r="A58" s="3" t="s">
        <v>7</v>
      </c>
      <c r="B58" s="2">
        <v>23</v>
      </c>
      <c r="C58" s="3" t="s">
        <v>369</v>
      </c>
      <c r="D58" s="3" t="s">
        <v>372</v>
      </c>
      <c r="E58" s="3"/>
      <c r="F58" s="2">
        <v>13</v>
      </c>
    </row>
    <row r="59" spans="1:8">
      <c r="A59" s="3" t="s">
        <v>1458</v>
      </c>
      <c r="B59" s="2">
        <v>23</v>
      </c>
      <c r="C59" s="3" t="s">
        <v>369</v>
      </c>
      <c r="E59" s="3"/>
      <c r="F59" s="2">
        <v>18</v>
      </c>
    </row>
    <row r="60" spans="1:8" s="32" customFormat="1">
      <c r="A60" s="21" t="s">
        <v>90</v>
      </c>
      <c r="B60" s="21">
        <v>23</v>
      </c>
      <c r="C60" s="21" t="s">
        <v>369</v>
      </c>
      <c r="D60" s="21"/>
      <c r="E60" s="21"/>
      <c r="F60" s="21">
        <v>16</v>
      </c>
      <c r="H60" s="21" t="s">
        <v>388</v>
      </c>
    </row>
    <row r="61" spans="1:8">
      <c r="A61" s="3" t="s">
        <v>7</v>
      </c>
      <c r="B61" s="3" t="s">
        <v>389</v>
      </c>
      <c r="C61" s="2">
        <v>5</v>
      </c>
      <c r="D61" s="3" t="s">
        <v>376</v>
      </c>
      <c r="F61" s="2">
        <v>18</v>
      </c>
    </row>
    <row r="63" spans="1:8">
      <c r="A63" s="5" t="s">
        <v>390</v>
      </c>
      <c r="B63" s="3" t="s">
        <v>391</v>
      </c>
    </row>
    <row r="64" spans="1:8">
      <c r="A64" s="3" t="s">
        <v>392</v>
      </c>
    </row>
    <row r="65" spans="1:12">
      <c r="A65" s="3" t="s">
        <v>393</v>
      </c>
      <c r="I65" s="19" t="s">
        <v>358</v>
      </c>
    </row>
    <row r="66" spans="1:12">
      <c r="A66" s="3" t="s">
        <v>394</v>
      </c>
      <c r="I66" s="19"/>
    </row>
    <row r="67" spans="1:12" ht="25.5">
      <c r="A67" s="3" t="s">
        <v>359</v>
      </c>
      <c r="B67" s="3" t="s">
        <v>360</v>
      </c>
      <c r="C67" s="3" t="s">
        <v>361</v>
      </c>
      <c r="D67" s="3" t="s">
        <v>362</v>
      </c>
      <c r="E67" s="22" t="s">
        <v>395</v>
      </c>
      <c r="F67" s="22" t="s">
        <v>396</v>
      </c>
      <c r="G67" s="3" t="s">
        <v>397</v>
      </c>
      <c r="H67" s="3" t="s">
        <v>397</v>
      </c>
      <c r="I67" s="3" t="s">
        <v>397</v>
      </c>
      <c r="J67" s="3" t="s">
        <v>397</v>
      </c>
      <c r="K67" s="3" t="s">
        <v>398</v>
      </c>
    </row>
    <row r="68" spans="1:12">
      <c r="A68" s="3"/>
      <c r="B68" s="3"/>
      <c r="C68" s="3"/>
      <c r="D68" s="3"/>
      <c r="E68" s="22"/>
      <c r="F68" s="22"/>
      <c r="G68" s="3" t="s">
        <v>399</v>
      </c>
      <c r="H68" s="3" t="s">
        <v>400</v>
      </c>
      <c r="I68" s="3" t="s">
        <v>401</v>
      </c>
      <c r="J68" s="3" t="s">
        <v>385</v>
      </c>
    </row>
    <row r="69" spans="1:12">
      <c r="A69" s="3" t="s">
        <v>7</v>
      </c>
      <c r="B69" s="2">
        <v>14</v>
      </c>
      <c r="C69" s="2">
        <v>2.8</v>
      </c>
      <c r="D69" s="3" t="s">
        <v>365</v>
      </c>
      <c r="E69" s="2">
        <v>1.72</v>
      </c>
      <c r="F69" s="23">
        <v>10.1</v>
      </c>
      <c r="G69" s="23">
        <v>16.899999999999999</v>
      </c>
      <c r="H69" s="23">
        <v>16.3</v>
      </c>
      <c r="I69" s="23">
        <v>55.8</v>
      </c>
      <c r="J69" s="23">
        <v>89</v>
      </c>
      <c r="K69" s="3" t="s">
        <v>402</v>
      </c>
    </row>
    <row r="70" spans="1:12">
      <c r="A70" s="3" t="s">
        <v>7</v>
      </c>
      <c r="B70" s="2">
        <v>17</v>
      </c>
      <c r="C70" s="2">
        <v>5</v>
      </c>
      <c r="D70" s="3" t="s">
        <v>376</v>
      </c>
      <c r="E70" s="2">
        <v>6.8</v>
      </c>
      <c r="F70" s="23">
        <v>56.9</v>
      </c>
      <c r="G70" s="23">
        <v>7.3</v>
      </c>
      <c r="H70" s="23">
        <v>25.7</v>
      </c>
      <c r="I70" s="23">
        <v>10</v>
      </c>
      <c r="J70" s="23">
        <v>43.1</v>
      </c>
      <c r="K70" s="3" t="s">
        <v>403</v>
      </c>
    </row>
    <row r="71" spans="1:12">
      <c r="A71" s="3" t="s">
        <v>368</v>
      </c>
      <c r="B71" s="2">
        <v>23</v>
      </c>
      <c r="C71" s="3">
        <v>17</v>
      </c>
      <c r="D71" s="3" t="s">
        <v>370</v>
      </c>
      <c r="E71" s="23">
        <v>8</v>
      </c>
      <c r="G71" s="23">
        <v>23.2</v>
      </c>
      <c r="H71" s="23">
        <v>41.1</v>
      </c>
      <c r="I71" s="23"/>
      <c r="J71" s="23"/>
      <c r="K71" s="3" t="s">
        <v>404</v>
      </c>
    </row>
    <row r="72" spans="1:12">
      <c r="A72" s="3" t="s">
        <v>7</v>
      </c>
      <c r="B72" s="2">
        <v>23</v>
      </c>
      <c r="C72" s="3">
        <v>17</v>
      </c>
      <c r="D72" s="3" t="s">
        <v>372</v>
      </c>
      <c r="E72" s="23">
        <v>6</v>
      </c>
      <c r="G72" s="23">
        <v>7</v>
      </c>
      <c r="H72" s="23">
        <v>72.2</v>
      </c>
      <c r="I72" s="23"/>
      <c r="J72" s="23"/>
      <c r="K72" s="3" t="s">
        <v>404</v>
      </c>
    </row>
    <row r="73" spans="1:12">
      <c r="A73" s="3" t="s">
        <v>1458</v>
      </c>
      <c r="B73" s="2">
        <v>23</v>
      </c>
      <c r="C73" s="3">
        <v>17</v>
      </c>
      <c r="E73" s="23">
        <v>7.4</v>
      </c>
      <c r="G73" s="23">
        <v>8.6999999999999993</v>
      </c>
      <c r="H73" s="23">
        <v>68.8</v>
      </c>
      <c r="I73" s="23"/>
      <c r="J73" s="23"/>
      <c r="K73" s="3" t="s">
        <v>404</v>
      </c>
    </row>
    <row r="74" spans="1:12" s="32" customFormat="1">
      <c r="A74" s="21" t="s">
        <v>90</v>
      </c>
      <c r="B74" s="21">
        <v>23</v>
      </c>
      <c r="C74" s="21">
        <v>17</v>
      </c>
      <c r="D74" s="21"/>
      <c r="E74" s="33">
        <v>6</v>
      </c>
      <c r="F74" s="21"/>
      <c r="G74" s="33">
        <v>12.4</v>
      </c>
      <c r="H74" s="33">
        <v>63</v>
      </c>
      <c r="I74" s="33"/>
      <c r="J74" s="33"/>
      <c r="K74" s="21" t="s">
        <v>404</v>
      </c>
    </row>
    <row r="75" spans="1:12">
      <c r="A75" s="3" t="s">
        <v>1458</v>
      </c>
      <c r="B75" s="2">
        <v>8</v>
      </c>
      <c r="C75" s="3"/>
      <c r="D75" s="3" t="s">
        <v>405</v>
      </c>
      <c r="E75" s="24">
        <v>3.05</v>
      </c>
      <c r="F75" s="23"/>
      <c r="G75" s="23">
        <v>20</v>
      </c>
      <c r="H75" s="23">
        <v>53.5</v>
      </c>
      <c r="I75" s="23"/>
      <c r="J75" s="23"/>
      <c r="K75" s="3" t="s">
        <v>406</v>
      </c>
      <c r="L75" s="3" t="s">
        <v>407</v>
      </c>
    </row>
    <row r="76" spans="1:12">
      <c r="A76" s="3" t="s">
        <v>1458</v>
      </c>
      <c r="B76" s="2">
        <v>25</v>
      </c>
      <c r="C76" s="3">
        <v>8.1999999999999993</v>
      </c>
      <c r="D76" s="3" t="s">
        <v>408</v>
      </c>
      <c r="E76" s="24">
        <v>5.54</v>
      </c>
      <c r="F76" s="23">
        <v>36.700000000000003</v>
      </c>
      <c r="G76" s="23"/>
      <c r="H76" s="23"/>
      <c r="I76" s="23">
        <v>10.5</v>
      </c>
      <c r="J76" s="23">
        <v>63.3</v>
      </c>
      <c r="K76" s="3" t="s">
        <v>406</v>
      </c>
    </row>
    <row r="77" spans="1:12">
      <c r="A77" s="3" t="s">
        <v>1458</v>
      </c>
      <c r="B77" s="2">
        <v>46</v>
      </c>
      <c r="C77" s="3">
        <v>16.2</v>
      </c>
      <c r="E77" s="24">
        <v>6.02</v>
      </c>
      <c r="F77" s="23">
        <v>30.5</v>
      </c>
      <c r="G77" s="23"/>
      <c r="H77" s="23"/>
      <c r="I77" s="23">
        <v>11.6</v>
      </c>
      <c r="J77" s="23">
        <v>69.5</v>
      </c>
      <c r="K77" s="3" t="s">
        <v>406</v>
      </c>
    </row>
    <row r="78" spans="1:12">
      <c r="A78" s="3" t="s">
        <v>1458</v>
      </c>
      <c r="B78" s="2">
        <v>85</v>
      </c>
      <c r="C78" s="3">
        <v>25.9</v>
      </c>
      <c r="E78" s="24">
        <v>5.18</v>
      </c>
      <c r="F78" s="23">
        <v>36</v>
      </c>
      <c r="G78" s="23"/>
      <c r="H78" s="23"/>
      <c r="I78" s="23">
        <v>10.6</v>
      </c>
      <c r="J78" s="23">
        <v>64</v>
      </c>
      <c r="K78" s="3" t="s">
        <v>406</v>
      </c>
    </row>
    <row r="79" spans="1:12">
      <c r="A79" s="3" t="s">
        <v>1458</v>
      </c>
      <c r="B79" s="2">
        <v>120</v>
      </c>
      <c r="C79" s="3" t="s">
        <v>409</v>
      </c>
      <c r="D79" s="3" t="s">
        <v>410</v>
      </c>
      <c r="E79" s="23">
        <v>8.6</v>
      </c>
      <c r="F79" s="23">
        <v>42.7</v>
      </c>
      <c r="G79" s="23"/>
      <c r="H79" s="23"/>
      <c r="I79" s="23">
        <v>9.3000000000000007</v>
      </c>
      <c r="J79" s="23">
        <v>57.3</v>
      </c>
      <c r="K79" s="3" t="s">
        <v>411</v>
      </c>
    </row>
    <row r="80" spans="1:12">
      <c r="A80" s="3" t="s">
        <v>4</v>
      </c>
      <c r="B80" s="2">
        <v>89</v>
      </c>
      <c r="C80" s="3">
        <v>25.6</v>
      </c>
      <c r="D80" s="3" t="s">
        <v>410</v>
      </c>
      <c r="E80" s="23">
        <v>14.9</v>
      </c>
      <c r="F80" s="23"/>
      <c r="G80" s="23"/>
      <c r="H80" s="23"/>
      <c r="I80" s="23"/>
      <c r="J80" s="23"/>
      <c r="K80" s="3" t="s">
        <v>411</v>
      </c>
    </row>
    <row r="81" spans="1:11">
      <c r="A81" s="3" t="s">
        <v>7</v>
      </c>
      <c r="B81" s="2">
        <v>20</v>
      </c>
      <c r="C81" s="3">
        <v>5</v>
      </c>
      <c r="D81" s="3" t="s">
        <v>365</v>
      </c>
      <c r="E81" s="3"/>
      <c r="F81" s="23">
        <v>28</v>
      </c>
      <c r="G81" s="23">
        <v>12</v>
      </c>
      <c r="H81" s="23">
        <v>10</v>
      </c>
      <c r="I81" s="23">
        <v>51</v>
      </c>
      <c r="J81" s="23">
        <v>73</v>
      </c>
      <c r="K81" s="3" t="s">
        <v>412</v>
      </c>
    </row>
    <row r="82" spans="1:11">
      <c r="A82" s="3" t="s">
        <v>3</v>
      </c>
      <c r="B82" s="2">
        <v>33</v>
      </c>
      <c r="C82" s="3" t="s">
        <v>366</v>
      </c>
      <c r="D82" s="3" t="s">
        <v>367</v>
      </c>
      <c r="F82" s="23"/>
      <c r="G82" s="23">
        <v>16</v>
      </c>
      <c r="H82" s="23">
        <v>19</v>
      </c>
      <c r="I82" s="23"/>
      <c r="J82" s="23"/>
      <c r="K82" s="3" t="s">
        <v>413</v>
      </c>
    </row>
    <row r="83" spans="1:11">
      <c r="A83" s="3" t="s">
        <v>4</v>
      </c>
      <c r="B83" s="2">
        <v>33</v>
      </c>
      <c r="C83" s="3" t="s">
        <v>366</v>
      </c>
      <c r="D83" s="3" t="s">
        <v>367</v>
      </c>
      <c r="G83" s="2">
        <v>8</v>
      </c>
      <c r="H83" s="2">
        <v>18</v>
      </c>
      <c r="K83" s="3" t="s">
        <v>413</v>
      </c>
    </row>
    <row r="84" spans="1:11">
      <c r="A84" s="3" t="s">
        <v>90</v>
      </c>
      <c r="B84" s="2">
        <v>50</v>
      </c>
      <c r="D84" s="3" t="s">
        <v>414</v>
      </c>
      <c r="E84" s="2">
        <v>7.3</v>
      </c>
      <c r="G84" s="2">
        <v>13.7</v>
      </c>
      <c r="K84" s="3" t="s">
        <v>415</v>
      </c>
    </row>
    <row r="85" spans="1:11">
      <c r="A85" s="3" t="s">
        <v>1458</v>
      </c>
      <c r="B85" s="2">
        <v>50</v>
      </c>
      <c r="D85" s="3" t="s">
        <v>414</v>
      </c>
      <c r="E85" s="2">
        <v>12.2</v>
      </c>
      <c r="G85" s="2">
        <v>13.1</v>
      </c>
      <c r="K85" s="3" t="s">
        <v>415</v>
      </c>
    </row>
    <row r="86" spans="1:11">
      <c r="A86" s="3" t="s">
        <v>1460</v>
      </c>
      <c r="B86" s="2">
        <v>50</v>
      </c>
      <c r="D86" s="3" t="s">
        <v>414</v>
      </c>
      <c r="E86" s="2">
        <v>4.7</v>
      </c>
      <c r="G86" s="2">
        <v>25.5</v>
      </c>
      <c r="K86" s="3" t="s">
        <v>415</v>
      </c>
    </row>
    <row r="87" spans="1:11">
      <c r="A87" s="3" t="s">
        <v>3</v>
      </c>
      <c r="B87" s="2">
        <v>50</v>
      </c>
      <c r="D87" s="3" t="s">
        <v>414</v>
      </c>
      <c r="E87" s="2">
        <v>9.1</v>
      </c>
      <c r="F87" s="23"/>
      <c r="G87" s="23">
        <v>30.8</v>
      </c>
      <c r="H87" s="23"/>
      <c r="I87" s="23"/>
      <c r="J87" s="23"/>
      <c r="K87" s="3" t="s">
        <v>415</v>
      </c>
    </row>
    <row r="88" spans="1:11">
      <c r="A88" s="3" t="s">
        <v>368</v>
      </c>
      <c r="B88" s="2">
        <v>50</v>
      </c>
      <c r="D88" s="3" t="s">
        <v>414</v>
      </c>
      <c r="E88" s="23">
        <v>14</v>
      </c>
      <c r="G88" s="23">
        <v>10</v>
      </c>
      <c r="K88" s="3" t="s">
        <v>415</v>
      </c>
    </row>
    <row r="89" spans="1:11">
      <c r="A89" s="3" t="s">
        <v>4</v>
      </c>
      <c r="B89" s="2">
        <v>50</v>
      </c>
      <c r="D89" s="3" t="s">
        <v>414</v>
      </c>
      <c r="E89" s="2">
        <v>8.6</v>
      </c>
      <c r="G89" s="2">
        <v>12.8</v>
      </c>
      <c r="K89" s="3" t="s">
        <v>415</v>
      </c>
    </row>
    <row r="90" spans="1:11">
      <c r="A90" s="3" t="s">
        <v>7</v>
      </c>
      <c r="B90" s="2">
        <v>50</v>
      </c>
      <c r="D90" s="3" t="s">
        <v>414</v>
      </c>
      <c r="E90" s="2">
        <v>3.4</v>
      </c>
      <c r="G90" s="2">
        <v>23.5</v>
      </c>
      <c r="K90" s="3" t="s">
        <v>415</v>
      </c>
    </row>
    <row r="91" spans="1:11">
      <c r="A91" s="3"/>
      <c r="D91" s="3"/>
    </row>
    <row r="92" spans="1:11">
      <c r="A92" s="3" t="s">
        <v>416</v>
      </c>
      <c r="B92" s="3"/>
      <c r="C92" s="3" t="s">
        <v>417</v>
      </c>
      <c r="D92" s="3"/>
    </row>
    <row r="94" spans="1:11">
      <c r="A94" s="5" t="s">
        <v>418</v>
      </c>
      <c r="B94" s="3" t="s">
        <v>419</v>
      </c>
    </row>
    <row r="95" spans="1:11">
      <c r="A95" s="3" t="s">
        <v>420</v>
      </c>
    </row>
    <row r="96" spans="1:11">
      <c r="A96" s="3" t="s">
        <v>421</v>
      </c>
    </row>
    <row r="98" spans="1:2">
      <c r="A98" s="5" t="s">
        <v>422</v>
      </c>
      <c r="B98" s="3" t="s">
        <v>423</v>
      </c>
    </row>
    <row r="99" spans="1:2">
      <c r="A99" s="3" t="s">
        <v>424</v>
      </c>
    </row>
    <row r="100" spans="1:2">
      <c r="A100" s="3" t="s">
        <v>425</v>
      </c>
    </row>
    <row r="102" spans="1:2">
      <c r="A102" s="3" t="s">
        <v>298</v>
      </c>
    </row>
    <row r="103" spans="1:2">
      <c r="A103" s="25" t="s">
        <v>426</v>
      </c>
    </row>
    <row r="105" spans="1:2">
      <c r="A105" s="21" t="s">
        <v>427</v>
      </c>
    </row>
    <row r="107" spans="1:2">
      <c r="A107" s="3" t="s">
        <v>429</v>
      </c>
    </row>
    <row r="108" spans="1:2" ht="14.25">
      <c r="A108" s="3" t="s">
        <v>501</v>
      </c>
    </row>
    <row r="109" spans="1:2">
      <c r="A109" s="3" t="s">
        <v>430</v>
      </c>
    </row>
    <row r="110" spans="1:2">
      <c r="A110" s="3" t="s">
        <v>431</v>
      </c>
    </row>
    <row r="111" spans="1:2">
      <c r="A111" s="3" t="s">
        <v>465</v>
      </c>
    </row>
    <row r="112" spans="1:2">
      <c r="A112" s="3" t="s">
        <v>466</v>
      </c>
    </row>
    <row r="113" spans="1:1">
      <c r="A113" s="3" t="s">
        <v>494</v>
      </c>
    </row>
    <row r="114" spans="1:1">
      <c r="A114" s="3" t="s">
        <v>502</v>
      </c>
    </row>
    <row r="115" spans="1:1">
      <c r="A115" s="3" t="s">
        <v>495</v>
      </c>
    </row>
    <row r="116" spans="1:1">
      <c r="A116" s="3" t="s">
        <v>496</v>
      </c>
    </row>
    <row r="117" spans="1:1">
      <c r="A117" s="3" t="s">
        <v>497</v>
      </c>
    </row>
    <row r="118" spans="1:1">
      <c r="A118" s="3" t="s">
        <v>498</v>
      </c>
    </row>
    <row r="119" spans="1:1">
      <c r="A119" s="3" t="s">
        <v>499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5"/>
  <sheetViews>
    <sheetView workbookViewId="0"/>
  </sheetViews>
  <sheetFormatPr baseColWidth="10" defaultRowHeight="12.75"/>
  <sheetData>
    <row r="1" spans="1:1">
      <c r="A1" t="s">
        <v>483</v>
      </c>
    </row>
    <row r="3" spans="1:1">
      <c r="A3" t="s">
        <v>516</v>
      </c>
    </row>
    <row r="4" spans="1:1">
      <c r="A4" t="s">
        <v>517</v>
      </c>
    </row>
    <row r="5" spans="1:1">
      <c r="A5" t="s">
        <v>526</v>
      </c>
    </row>
    <row r="8" spans="1:1">
      <c r="A8" t="s">
        <v>518</v>
      </c>
    </row>
    <row r="9" spans="1:1">
      <c r="A9" t="s">
        <v>544</v>
      </c>
    </row>
    <row r="11" spans="1:1">
      <c r="A11" t="s">
        <v>545</v>
      </c>
    </row>
    <row r="12" spans="1:1">
      <c r="A12" t="s">
        <v>546</v>
      </c>
    </row>
    <row r="14" spans="1:1">
      <c r="A14" t="s">
        <v>547</v>
      </c>
    </row>
    <row r="15" spans="1:1">
      <c r="A15" t="s">
        <v>548</v>
      </c>
    </row>
    <row r="17" spans="1:19">
      <c r="A17" t="s">
        <v>549</v>
      </c>
    </row>
    <row r="18" spans="1:19">
      <c r="A18" t="s">
        <v>550</v>
      </c>
    </row>
    <row r="20" spans="1:19">
      <c r="A20" t="s">
        <v>557</v>
      </c>
    </row>
    <row r="21" spans="1:19">
      <c r="A21" t="s">
        <v>553</v>
      </c>
    </row>
    <row r="22" spans="1:19">
      <c r="A22" t="s">
        <v>552</v>
      </c>
    </row>
    <row r="23" spans="1:19">
      <c r="A23" t="s">
        <v>551</v>
      </c>
    </row>
    <row r="24" spans="1:19">
      <c r="A24" t="s">
        <v>558</v>
      </c>
    </row>
    <row r="25" spans="1:19">
      <c r="A25" t="s">
        <v>559</v>
      </c>
    </row>
    <row r="28" spans="1:19" s="26" customFormat="1">
      <c r="A28" s="75" t="s">
        <v>582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9" s="34" customFormat="1" ht="25.5">
      <c r="A29" s="34" t="s">
        <v>560</v>
      </c>
      <c r="B29" s="34" t="s">
        <v>561</v>
      </c>
      <c r="C29" s="34" t="s">
        <v>579</v>
      </c>
      <c r="D29" s="34" t="s">
        <v>562</v>
      </c>
      <c r="E29" s="34" t="s">
        <v>579</v>
      </c>
      <c r="F29" s="34" t="s">
        <v>563</v>
      </c>
      <c r="G29" s="34" t="s">
        <v>579</v>
      </c>
      <c r="H29" s="34" t="s">
        <v>564</v>
      </c>
      <c r="I29" s="34" t="s">
        <v>579</v>
      </c>
      <c r="J29" s="34" t="s">
        <v>565</v>
      </c>
      <c r="K29" s="34" t="s">
        <v>579</v>
      </c>
      <c r="L29" s="34" t="s">
        <v>566</v>
      </c>
      <c r="M29" s="34" t="s">
        <v>579</v>
      </c>
      <c r="N29" s="34" t="s">
        <v>567</v>
      </c>
      <c r="O29" s="34" t="s">
        <v>579</v>
      </c>
      <c r="P29" s="34" t="s">
        <v>568</v>
      </c>
      <c r="Q29" s="34" t="s">
        <v>579</v>
      </c>
      <c r="R29" s="34" t="s">
        <v>569</v>
      </c>
      <c r="S29" s="34" t="s">
        <v>579</v>
      </c>
    </row>
    <row r="30" spans="1:19">
      <c r="A30" t="s">
        <v>570</v>
      </c>
      <c r="B30">
        <v>90.3</v>
      </c>
      <c r="C30">
        <v>27</v>
      </c>
      <c r="D30">
        <v>20</v>
      </c>
      <c r="F30">
        <v>110.4</v>
      </c>
      <c r="G30">
        <v>62.3</v>
      </c>
      <c r="H30">
        <v>12.1</v>
      </c>
      <c r="J30">
        <v>122.5</v>
      </c>
      <c r="K30">
        <v>31.1</v>
      </c>
      <c r="L30">
        <v>90.4</v>
      </c>
      <c r="N30">
        <v>212.9</v>
      </c>
      <c r="O30">
        <v>62.3</v>
      </c>
      <c r="P30">
        <v>84.4</v>
      </c>
      <c r="R30">
        <v>297.7</v>
      </c>
      <c r="S30">
        <v>87.1</v>
      </c>
    </row>
    <row r="31" spans="1:19">
      <c r="A31" t="s">
        <v>571</v>
      </c>
      <c r="B31">
        <v>66.400000000000006</v>
      </c>
      <c r="C31">
        <v>18.600000000000001</v>
      </c>
      <c r="D31">
        <v>30.9</v>
      </c>
      <c r="F31">
        <v>97.3</v>
      </c>
      <c r="G31">
        <v>60.9</v>
      </c>
      <c r="H31">
        <v>19.600000000000001</v>
      </c>
      <c r="J31">
        <v>116.9</v>
      </c>
      <c r="K31">
        <v>31</v>
      </c>
      <c r="L31">
        <v>50.9</v>
      </c>
      <c r="N31">
        <v>167.8</v>
      </c>
      <c r="O31">
        <v>60.9</v>
      </c>
      <c r="P31">
        <v>49.5</v>
      </c>
      <c r="R31">
        <v>217.3</v>
      </c>
      <c r="S31">
        <v>84.4</v>
      </c>
    </row>
    <row r="32" spans="1:19">
      <c r="A32" t="s">
        <v>572</v>
      </c>
      <c r="B32">
        <v>75.7</v>
      </c>
      <c r="C32">
        <v>21.1</v>
      </c>
      <c r="D32">
        <v>23.4</v>
      </c>
      <c r="F32">
        <v>99.1</v>
      </c>
      <c r="G32">
        <v>53.3</v>
      </c>
      <c r="H32">
        <v>14.6</v>
      </c>
      <c r="J32">
        <v>113.7</v>
      </c>
      <c r="K32">
        <v>29.5</v>
      </c>
      <c r="L32">
        <v>43</v>
      </c>
      <c r="N32">
        <v>156.69999999999999</v>
      </c>
      <c r="O32">
        <v>53.3</v>
      </c>
      <c r="P32">
        <v>42.5</v>
      </c>
      <c r="R32">
        <v>199.2</v>
      </c>
      <c r="S32">
        <v>77.900000000000006</v>
      </c>
    </row>
    <row r="33" spans="1:19">
      <c r="A33" t="s">
        <v>573</v>
      </c>
      <c r="B33">
        <v>101.8</v>
      </c>
      <c r="C33">
        <v>25.6</v>
      </c>
      <c r="D33">
        <v>17.899999999999999</v>
      </c>
      <c r="F33">
        <v>119.7</v>
      </c>
      <c r="G33">
        <v>53</v>
      </c>
      <c r="H33">
        <v>11.2</v>
      </c>
      <c r="J33">
        <v>13.9</v>
      </c>
      <c r="K33">
        <v>32.4</v>
      </c>
      <c r="L33">
        <v>63.1</v>
      </c>
      <c r="N33">
        <v>194</v>
      </c>
      <c r="O33">
        <v>53</v>
      </c>
      <c r="P33">
        <v>61.1</v>
      </c>
      <c r="R33">
        <v>255.1</v>
      </c>
      <c r="S33">
        <v>84.7</v>
      </c>
    </row>
    <row r="34" spans="1:19">
      <c r="A34" t="s">
        <v>574</v>
      </c>
      <c r="B34">
        <v>80.3</v>
      </c>
      <c r="C34">
        <v>23.7</v>
      </c>
      <c r="D34">
        <v>16</v>
      </c>
      <c r="F34">
        <v>96.3</v>
      </c>
      <c r="G34">
        <v>62.3</v>
      </c>
      <c r="H34">
        <v>11.2</v>
      </c>
      <c r="J34">
        <v>107.5</v>
      </c>
      <c r="K34">
        <v>30.4</v>
      </c>
      <c r="L34">
        <v>58.4</v>
      </c>
      <c r="N34">
        <v>165.9</v>
      </c>
      <c r="O34">
        <v>62.3</v>
      </c>
      <c r="P34">
        <v>56.4</v>
      </c>
      <c r="R34">
        <v>222.3</v>
      </c>
      <c r="S34">
        <v>91.6</v>
      </c>
    </row>
    <row r="35" spans="1:19">
      <c r="A35" t="s">
        <v>575</v>
      </c>
      <c r="B35">
        <v>100.6</v>
      </c>
      <c r="C35">
        <v>31.8</v>
      </c>
      <c r="D35">
        <v>20.100000000000001</v>
      </c>
      <c r="F35">
        <v>120.7</v>
      </c>
      <c r="G35">
        <v>61.7</v>
      </c>
      <c r="H35">
        <v>7.6</v>
      </c>
      <c r="J35">
        <v>128.30000000000001</v>
      </c>
      <c r="K35">
        <v>34.700000000000003</v>
      </c>
      <c r="L35">
        <v>64.8</v>
      </c>
      <c r="N35">
        <v>193.1</v>
      </c>
      <c r="O35">
        <v>61.7</v>
      </c>
      <c r="P35">
        <v>62.2</v>
      </c>
      <c r="R35">
        <v>255.3</v>
      </c>
      <c r="S35">
        <v>84.1</v>
      </c>
    </row>
    <row r="36" spans="1:19">
      <c r="A36" t="s">
        <v>576</v>
      </c>
      <c r="B36">
        <v>97.4</v>
      </c>
      <c r="C36">
        <v>24.5</v>
      </c>
      <c r="D36">
        <v>24.1</v>
      </c>
      <c r="F36">
        <v>121.5</v>
      </c>
      <c r="G36">
        <v>60.1</v>
      </c>
      <c r="H36">
        <v>15.2</v>
      </c>
      <c r="J36">
        <v>136.69999999999999</v>
      </c>
      <c r="K36">
        <v>31.5</v>
      </c>
      <c r="L36">
        <v>72.3</v>
      </c>
      <c r="N36">
        <v>209</v>
      </c>
      <c r="O36">
        <v>60.1</v>
      </c>
      <c r="P36">
        <v>57.8</v>
      </c>
      <c r="R36">
        <v>266.8</v>
      </c>
      <c r="S36">
        <v>85.7</v>
      </c>
    </row>
    <row r="37" spans="1:19">
      <c r="A37" t="s">
        <v>577</v>
      </c>
      <c r="B37">
        <v>117.3</v>
      </c>
      <c r="C37">
        <v>30.2</v>
      </c>
      <c r="D37">
        <v>22.1</v>
      </c>
      <c r="F37">
        <v>139.4</v>
      </c>
      <c r="G37">
        <v>56.4</v>
      </c>
      <c r="H37">
        <v>17</v>
      </c>
      <c r="J37">
        <v>156.4</v>
      </c>
      <c r="K37">
        <v>30.3</v>
      </c>
      <c r="L37">
        <v>81.7</v>
      </c>
      <c r="N37">
        <v>238.1</v>
      </c>
      <c r="O37">
        <v>56.4</v>
      </c>
      <c r="P37">
        <v>75.900000000000006</v>
      </c>
      <c r="R37">
        <v>314</v>
      </c>
      <c r="S37">
        <v>83.6</v>
      </c>
    </row>
    <row r="38" spans="1:19">
      <c r="A38" t="s">
        <v>578</v>
      </c>
      <c r="B38">
        <v>55.7</v>
      </c>
      <c r="C38">
        <v>14.8</v>
      </c>
      <c r="D38">
        <v>23</v>
      </c>
      <c r="F38">
        <v>78.7</v>
      </c>
      <c r="G38">
        <v>68.900000000000006</v>
      </c>
      <c r="H38">
        <v>22.8</v>
      </c>
      <c r="J38">
        <v>101.5</v>
      </c>
      <c r="K38">
        <v>32.6</v>
      </c>
      <c r="L38">
        <v>53.6</v>
      </c>
      <c r="N38">
        <v>155.1</v>
      </c>
      <c r="O38">
        <v>68.900000000000006</v>
      </c>
      <c r="P38">
        <v>65</v>
      </c>
      <c r="R38">
        <v>220.1</v>
      </c>
      <c r="S38">
        <v>82.6</v>
      </c>
    </row>
    <row r="41" spans="1:19">
      <c r="A41" s="75" t="s">
        <v>583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9" s="34" customFormat="1" ht="25.5">
      <c r="A42" s="34" t="s">
        <v>560</v>
      </c>
      <c r="B42" s="34" t="s">
        <v>580</v>
      </c>
      <c r="C42" s="34" t="s">
        <v>581</v>
      </c>
      <c r="D42" s="34" t="s">
        <v>584</v>
      </c>
      <c r="E42" s="34" t="s">
        <v>585</v>
      </c>
      <c r="F42" s="34" t="s">
        <v>581</v>
      </c>
      <c r="G42" s="34" t="s">
        <v>586</v>
      </c>
      <c r="H42" s="34" t="s">
        <v>587</v>
      </c>
      <c r="I42" s="34" t="s">
        <v>581</v>
      </c>
      <c r="J42" s="34" t="s">
        <v>588</v>
      </c>
      <c r="K42" s="34" t="s">
        <v>589</v>
      </c>
      <c r="L42" s="34" t="s">
        <v>581</v>
      </c>
      <c r="M42" s="34" t="s">
        <v>590</v>
      </c>
      <c r="N42" s="34" t="s">
        <v>591</v>
      </c>
      <c r="O42" s="34" t="s">
        <v>581</v>
      </c>
    </row>
    <row r="43" spans="1:19">
      <c r="A43" t="s">
        <v>570</v>
      </c>
      <c r="B43">
        <v>7.7</v>
      </c>
      <c r="C43">
        <v>1.8</v>
      </c>
      <c r="D43">
        <v>2.2000000000000002</v>
      </c>
      <c r="E43">
        <v>9.9</v>
      </c>
      <c r="F43">
        <v>2.2000000000000002</v>
      </c>
      <c r="G43">
        <v>2.6</v>
      </c>
      <c r="H43">
        <v>12.5</v>
      </c>
      <c r="I43">
        <v>2.9</v>
      </c>
      <c r="J43">
        <v>9.6</v>
      </c>
      <c r="K43">
        <v>13.5</v>
      </c>
      <c r="L43">
        <v>7.3</v>
      </c>
      <c r="M43">
        <v>20.399999999999999</v>
      </c>
      <c r="N43">
        <v>33.9</v>
      </c>
      <c r="O43">
        <v>10.9</v>
      </c>
    </row>
    <row r="44" spans="1:19">
      <c r="A44" t="s">
        <v>571</v>
      </c>
      <c r="B44">
        <v>5.9</v>
      </c>
      <c r="C44">
        <v>1.5</v>
      </c>
      <c r="D44">
        <v>3.2</v>
      </c>
      <c r="E44">
        <v>9.1</v>
      </c>
      <c r="F44">
        <v>1.8</v>
      </c>
      <c r="G44">
        <v>3.4</v>
      </c>
      <c r="H44">
        <v>12.5</v>
      </c>
      <c r="I44">
        <v>3.4</v>
      </c>
      <c r="J44">
        <v>6</v>
      </c>
      <c r="K44">
        <v>18.600000000000001</v>
      </c>
      <c r="L44">
        <v>6.5</v>
      </c>
      <c r="M44">
        <v>6.9</v>
      </c>
      <c r="N44">
        <v>25.5</v>
      </c>
      <c r="O44">
        <v>9.9</v>
      </c>
    </row>
    <row r="45" spans="1:19">
      <c r="A45" t="s">
        <v>572</v>
      </c>
      <c r="B45">
        <v>6.7</v>
      </c>
      <c r="C45">
        <v>1.6</v>
      </c>
      <c r="D45">
        <v>2.4</v>
      </c>
      <c r="E45">
        <v>9.1</v>
      </c>
      <c r="F45">
        <v>2.1</v>
      </c>
      <c r="G45">
        <v>1.6</v>
      </c>
      <c r="H45">
        <v>10.7</v>
      </c>
      <c r="I45">
        <v>3.2</v>
      </c>
      <c r="J45">
        <v>6.5</v>
      </c>
      <c r="K45">
        <v>17.2</v>
      </c>
      <c r="L45">
        <v>6.2</v>
      </c>
      <c r="M45">
        <v>7.2</v>
      </c>
      <c r="N45">
        <v>24.4</v>
      </c>
      <c r="O45">
        <v>9.9</v>
      </c>
    </row>
    <row r="46" spans="1:19">
      <c r="A46" t="s">
        <v>573</v>
      </c>
      <c r="B46">
        <v>7.7</v>
      </c>
      <c r="C46">
        <v>1.7</v>
      </c>
      <c r="D46">
        <v>2.7</v>
      </c>
      <c r="E46">
        <v>10.4</v>
      </c>
      <c r="F46">
        <v>2</v>
      </c>
      <c r="G46">
        <v>2.4</v>
      </c>
      <c r="H46">
        <v>12.8</v>
      </c>
      <c r="I46">
        <v>2.9</v>
      </c>
      <c r="J46">
        <v>7.8</v>
      </c>
      <c r="K46">
        <v>20.6</v>
      </c>
      <c r="L46">
        <v>6</v>
      </c>
      <c r="M46">
        <v>8.1999999999999993</v>
      </c>
      <c r="N46">
        <v>28.8</v>
      </c>
      <c r="O46">
        <v>10.199999999999999</v>
      </c>
    </row>
    <row r="47" spans="1:19">
      <c r="A47" t="s">
        <v>574</v>
      </c>
      <c r="B47">
        <v>6.6</v>
      </c>
      <c r="C47">
        <v>1.7</v>
      </c>
      <c r="D47">
        <v>2.9</v>
      </c>
      <c r="E47">
        <v>9.5</v>
      </c>
      <c r="F47">
        <v>2</v>
      </c>
      <c r="G47">
        <v>2.2000000000000002</v>
      </c>
      <c r="H47">
        <v>11.7</v>
      </c>
      <c r="I47">
        <v>2.9</v>
      </c>
      <c r="J47">
        <v>5.9</v>
      </c>
      <c r="K47">
        <v>17.600000000000001</v>
      </c>
      <c r="L47">
        <v>6.6</v>
      </c>
      <c r="M47">
        <v>7.9</v>
      </c>
      <c r="N47">
        <v>25.5</v>
      </c>
      <c r="O47">
        <v>9.6999999999999993</v>
      </c>
    </row>
    <row r="48" spans="1:19">
      <c r="A48" t="s">
        <v>575</v>
      </c>
      <c r="B48">
        <v>7.3</v>
      </c>
      <c r="C48">
        <v>2.1</v>
      </c>
      <c r="D48">
        <v>2.8</v>
      </c>
      <c r="E48">
        <v>10.1</v>
      </c>
      <c r="F48">
        <v>2.2000000000000002</v>
      </c>
      <c r="G48">
        <v>2.9</v>
      </c>
      <c r="H48">
        <v>12.9</v>
      </c>
      <c r="I48">
        <v>3.1</v>
      </c>
      <c r="J48">
        <v>7.2</v>
      </c>
      <c r="K48">
        <v>20.100000000000001</v>
      </c>
      <c r="L48">
        <v>6.7</v>
      </c>
      <c r="M48">
        <v>9.4</v>
      </c>
      <c r="N48">
        <v>29.5</v>
      </c>
      <c r="O48">
        <v>10.199999999999999</v>
      </c>
    </row>
    <row r="49" spans="1:15">
      <c r="A49" t="s">
        <v>576</v>
      </c>
      <c r="B49">
        <v>7</v>
      </c>
      <c r="C49">
        <v>1.6</v>
      </c>
      <c r="D49">
        <v>3</v>
      </c>
      <c r="E49">
        <v>10</v>
      </c>
      <c r="F49">
        <v>1.8</v>
      </c>
      <c r="G49">
        <v>2.2999999999999998</v>
      </c>
      <c r="H49">
        <v>12.3</v>
      </c>
      <c r="I49">
        <v>3.2</v>
      </c>
      <c r="J49">
        <v>8.5</v>
      </c>
      <c r="K49">
        <v>20.8</v>
      </c>
      <c r="L49">
        <v>6.2</v>
      </c>
      <c r="M49">
        <v>8.1999999999999993</v>
      </c>
      <c r="N49">
        <v>29</v>
      </c>
      <c r="O49">
        <v>10.199999999999999</v>
      </c>
    </row>
    <row r="50" spans="1:15">
      <c r="A50" t="s">
        <v>577</v>
      </c>
      <c r="B50">
        <v>8.6999999999999993</v>
      </c>
      <c r="C50">
        <v>2.1</v>
      </c>
      <c r="D50">
        <v>3</v>
      </c>
      <c r="E50">
        <v>11.7</v>
      </c>
      <c r="F50">
        <v>2.7</v>
      </c>
      <c r="G50">
        <v>3.1</v>
      </c>
      <c r="H50">
        <v>14.8</v>
      </c>
      <c r="I50">
        <v>3.5</v>
      </c>
      <c r="J50">
        <v>10.4</v>
      </c>
      <c r="K50">
        <v>25.2</v>
      </c>
      <c r="L50">
        <v>6.2</v>
      </c>
      <c r="M50">
        <v>10</v>
      </c>
      <c r="N50">
        <v>35.200000000000003</v>
      </c>
      <c r="O50">
        <v>9.9</v>
      </c>
    </row>
    <row r="51" spans="1:15">
      <c r="A51" t="s">
        <v>578</v>
      </c>
      <c r="B51">
        <v>5.2</v>
      </c>
      <c r="C51">
        <v>1.1000000000000001</v>
      </c>
      <c r="D51">
        <v>1.9</v>
      </c>
      <c r="E51">
        <v>7.1</v>
      </c>
      <c r="F51">
        <v>1.8</v>
      </c>
      <c r="G51">
        <v>1.9</v>
      </c>
      <c r="H51">
        <v>9</v>
      </c>
      <c r="I51">
        <v>2.5</v>
      </c>
      <c r="J51">
        <v>4.5</v>
      </c>
      <c r="K51">
        <v>13.5</v>
      </c>
      <c r="L51">
        <v>5.7</v>
      </c>
      <c r="M51">
        <v>6.9</v>
      </c>
      <c r="N51">
        <v>20.399999999999999</v>
      </c>
      <c r="O51">
        <v>8.6999999999999993</v>
      </c>
    </row>
    <row r="53" spans="1:15">
      <c r="A53" s="75" t="s">
        <v>592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1:15" ht="25.5">
      <c r="A54" s="34" t="s">
        <v>560</v>
      </c>
      <c r="B54" s="34" t="s">
        <v>593</v>
      </c>
      <c r="C54" s="34" t="s">
        <v>594</v>
      </c>
      <c r="D54" s="34" t="s">
        <v>595</v>
      </c>
      <c r="E54" s="34" t="s">
        <v>596</v>
      </c>
    </row>
    <row r="55" spans="1:15">
      <c r="A55" t="s">
        <v>570</v>
      </c>
      <c r="B55">
        <v>100</v>
      </c>
      <c r="C55">
        <v>92.7</v>
      </c>
      <c r="D55">
        <v>90.5</v>
      </c>
      <c r="E55">
        <v>85.6</v>
      </c>
    </row>
    <row r="56" spans="1:15">
      <c r="A56" t="s">
        <v>571</v>
      </c>
      <c r="B56">
        <v>99</v>
      </c>
      <c r="C56">
        <v>92.9</v>
      </c>
      <c r="D56">
        <v>92.9</v>
      </c>
      <c r="E56">
        <v>86.9</v>
      </c>
    </row>
    <row r="57" spans="1:15">
      <c r="A57" t="s">
        <v>572</v>
      </c>
      <c r="B57">
        <v>100</v>
      </c>
      <c r="C57">
        <v>93</v>
      </c>
      <c r="D57">
        <v>87.4</v>
      </c>
      <c r="E57">
        <v>85.4</v>
      </c>
    </row>
    <row r="58" spans="1:15">
      <c r="A58" t="s">
        <v>573</v>
      </c>
      <c r="B58">
        <v>99</v>
      </c>
      <c r="C58">
        <v>89</v>
      </c>
      <c r="D58">
        <v>89</v>
      </c>
      <c r="E58">
        <v>86.3</v>
      </c>
    </row>
    <row r="59" spans="1:15">
      <c r="A59" t="s">
        <v>574</v>
      </c>
      <c r="B59">
        <v>99</v>
      </c>
      <c r="C59">
        <v>93.2</v>
      </c>
      <c r="D59">
        <v>93.2</v>
      </c>
      <c r="E59">
        <v>93.2</v>
      </c>
    </row>
    <row r="60" spans="1:15">
      <c r="A60" t="s">
        <v>575</v>
      </c>
      <c r="B60">
        <v>100</v>
      </c>
      <c r="C60">
        <v>89</v>
      </c>
      <c r="D60">
        <v>86.4</v>
      </c>
      <c r="E60">
        <v>84.4</v>
      </c>
    </row>
    <row r="61" spans="1:15">
      <c r="A61" t="s">
        <v>576</v>
      </c>
      <c r="B61">
        <v>98</v>
      </c>
      <c r="C61">
        <v>96</v>
      </c>
      <c r="D61">
        <v>89.1</v>
      </c>
      <c r="E61">
        <v>89.1</v>
      </c>
    </row>
    <row r="62" spans="1:15">
      <c r="A62" t="s">
        <v>577</v>
      </c>
      <c r="B62">
        <v>99</v>
      </c>
      <c r="C62">
        <v>99</v>
      </c>
      <c r="D62">
        <v>94.2</v>
      </c>
      <c r="E62">
        <v>94.2</v>
      </c>
    </row>
    <row r="63" spans="1:15">
      <c r="A63" s="47" t="s">
        <v>578</v>
      </c>
      <c r="B63" s="47">
        <v>98</v>
      </c>
      <c r="C63" s="47">
        <v>68.400000000000006</v>
      </c>
      <c r="D63" s="47">
        <v>68.400000000000006</v>
      </c>
      <c r="E63" s="47">
        <v>65.400000000000006</v>
      </c>
    </row>
    <row r="64" spans="1:15">
      <c r="A64" s="50" t="s">
        <v>862</v>
      </c>
      <c r="B64">
        <f>AVERAGE(B55:B63)</f>
        <v>99.111111111111114</v>
      </c>
      <c r="C64">
        <f>AVERAGE(C55:C63)</f>
        <v>90.355555555555554</v>
      </c>
      <c r="D64">
        <f>AVERAGE(D55:D63)</f>
        <v>87.9</v>
      </c>
      <c r="E64">
        <f>AVERAGE(E55:E63)</f>
        <v>85.611111111111114</v>
      </c>
    </row>
    <row r="66" spans="1:9">
      <c r="A66" s="26" t="s">
        <v>597</v>
      </c>
    </row>
    <row r="67" spans="1:9" ht="25.5">
      <c r="A67" s="34" t="s">
        <v>560</v>
      </c>
      <c r="B67" s="37" t="s">
        <v>313</v>
      </c>
      <c r="C67" s="37" t="s">
        <v>314</v>
      </c>
      <c r="D67" s="37" t="s">
        <v>315</v>
      </c>
      <c r="E67" s="37" t="s">
        <v>316</v>
      </c>
      <c r="F67" s="37" t="s">
        <v>329</v>
      </c>
      <c r="G67" s="37" t="s">
        <v>598</v>
      </c>
      <c r="I67" t="s">
        <v>599</v>
      </c>
    </row>
    <row r="68" spans="1:9">
      <c r="A68" s="36"/>
      <c r="B68" s="35"/>
      <c r="C68" s="35"/>
      <c r="D68" s="35">
        <v>1995</v>
      </c>
      <c r="E68" s="35"/>
      <c r="F68" s="35"/>
      <c r="G68" s="35"/>
    </row>
    <row r="69" spans="1:9">
      <c r="A69" t="s">
        <v>573</v>
      </c>
      <c r="B69">
        <v>100</v>
      </c>
      <c r="C69">
        <v>3</v>
      </c>
      <c r="D69">
        <v>44</v>
      </c>
      <c r="E69">
        <v>65</v>
      </c>
      <c r="F69">
        <v>10</v>
      </c>
      <c r="G69">
        <v>11</v>
      </c>
    </row>
    <row r="70" spans="1:9">
      <c r="A70" t="s">
        <v>577</v>
      </c>
      <c r="B70">
        <v>100</v>
      </c>
      <c r="C70">
        <v>2</v>
      </c>
      <c r="D70">
        <v>39</v>
      </c>
      <c r="E70">
        <v>79</v>
      </c>
      <c r="F70">
        <v>11</v>
      </c>
      <c r="G70">
        <v>10</v>
      </c>
    </row>
    <row r="71" spans="1:9">
      <c r="A71" t="s">
        <v>578</v>
      </c>
      <c r="B71">
        <v>100</v>
      </c>
      <c r="C71">
        <v>3</v>
      </c>
      <c r="D71">
        <v>39</v>
      </c>
      <c r="E71">
        <v>75</v>
      </c>
      <c r="F71">
        <v>10</v>
      </c>
      <c r="G71">
        <v>9</v>
      </c>
    </row>
    <row r="72" spans="1:9">
      <c r="A72" s="35"/>
      <c r="B72" s="35"/>
      <c r="C72" s="35"/>
      <c r="D72" s="35">
        <v>1996</v>
      </c>
      <c r="E72" s="35"/>
      <c r="F72" s="35"/>
      <c r="G72" s="35"/>
    </row>
    <row r="73" spans="1:9">
      <c r="A73" t="s">
        <v>573</v>
      </c>
      <c r="B73">
        <v>100</v>
      </c>
      <c r="C73">
        <v>6</v>
      </c>
      <c r="D73">
        <v>34</v>
      </c>
      <c r="E73">
        <v>79</v>
      </c>
      <c r="F73">
        <v>8</v>
      </c>
      <c r="G73">
        <v>7</v>
      </c>
    </row>
    <row r="74" spans="1:9">
      <c r="A74" t="s">
        <v>577</v>
      </c>
      <c r="B74">
        <v>100</v>
      </c>
      <c r="C74">
        <v>7</v>
      </c>
      <c r="D74">
        <v>34</v>
      </c>
      <c r="E74">
        <v>66</v>
      </c>
      <c r="F74">
        <v>8</v>
      </c>
      <c r="G74">
        <v>8</v>
      </c>
    </row>
    <row r="75" spans="1:9">
      <c r="A75" t="s">
        <v>578</v>
      </c>
      <c r="B75">
        <v>100</v>
      </c>
      <c r="C75">
        <v>7</v>
      </c>
      <c r="D75">
        <v>31</v>
      </c>
      <c r="E75">
        <v>66</v>
      </c>
      <c r="F75">
        <v>8</v>
      </c>
      <c r="G75">
        <v>7</v>
      </c>
    </row>
    <row r="76" spans="1:9">
      <c r="A76" s="35"/>
      <c r="B76" s="35"/>
      <c r="C76" s="35"/>
      <c r="D76" s="35">
        <v>1997</v>
      </c>
      <c r="E76" s="35"/>
      <c r="F76" s="35"/>
      <c r="G76" s="35"/>
    </row>
    <row r="77" spans="1:9">
      <c r="A77" t="s">
        <v>573</v>
      </c>
      <c r="B77">
        <v>100</v>
      </c>
      <c r="C77">
        <v>7</v>
      </c>
      <c r="D77">
        <v>51</v>
      </c>
      <c r="E77">
        <v>34</v>
      </c>
      <c r="F77">
        <v>10</v>
      </c>
      <c r="G77">
        <v>8</v>
      </c>
    </row>
    <row r="78" spans="1:9">
      <c r="A78" t="s">
        <v>577</v>
      </c>
      <c r="B78">
        <v>100</v>
      </c>
      <c r="C78">
        <v>7</v>
      </c>
      <c r="D78">
        <v>42</v>
      </c>
      <c r="E78">
        <v>33</v>
      </c>
      <c r="F78">
        <v>8</v>
      </c>
      <c r="G78">
        <v>8</v>
      </c>
    </row>
    <row r="79" spans="1:9">
      <c r="A79" t="s">
        <v>578</v>
      </c>
      <c r="B79">
        <v>100</v>
      </c>
      <c r="C79">
        <v>7</v>
      </c>
      <c r="D79">
        <v>58</v>
      </c>
      <c r="E79">
        <v>41</v>
      </c>
      <c r="F79">
        <v>9</v>
      </c>
      <c r="G79">
        <v>8</v>
      </c>
    </row>
    <row r="80" spans="1:9">
      <c r="A80" s="35"/>
      <c r="B80" s="35"/>
      <c r="C80" s="35"/>
      <c r="D80" s="35">
        <v>1998</v>
      </c>
      <c r="E80" s="35"/>
      <c r="F80" s="35"/>
      <c r="G80" s="35"/>
    </row>
    <row r="81" spans="1:10">
      <c r="A81" t="s">
        <v>573</v>
      </c>
      <c r="B81">
        <v>100</v>
      </c>
      <c r="C81">
        <v>6</v>
      </c>
      <c r="D81">
        <v>43</v>
      </c>
      <c r="E81">
        <v>50</v>
      </c>
      <c r="F81">
        <v>10</v>
      </c>
      <c r="G81">
        <v>8</v>
      </c>
    </row>
    <row r="82" spans="1:10">
      <c r="A82" t="s">
        <v>577</v>
      </c>
      <c r="B82">
        <v>100</v>
      </c>
      <c r="C82">
        <v>7</v>
      </c>
      <c r="D82">
        <v>39</v>
      </c>
      <c r="E82">
        <v>57</v>
      </c>
      <c r="F82">
        <v>10</v>
      </c>
      <c r="G82">
        <v>10</v>
      </c>
    </row>
    <row r="83" spans="1:10">
      <c r="A83" t="s">
        <v>578</v>
      </c>
      <c r="B83">
        <v>100</v>
      </c>
      <c r="C83">
        <v>6</v>
      </c>
      <c r="D83">
        <v>39</v>
      </c>
      <c r="E83">
        <v>55</v>
      </c>
      <c r="F83">
        <v>10</v>
      </c>
      <c r="G83">
        <v>10</v>
      </c>
    </row>
    <row r="86" spans="1:10">
      <c r="A86" s="26" t="s">
        <v>600</v>
      </c>
    </row>
    <row r="87" spans="1:10" ht="25.5">
      <c r="A87" s="34" t="s">
        <v>560</v>
      </c>
      <c r="B87" s="37" t="s">
        <v>601</v>
      </c>
      <c r="C87" s="37" t="s">
        <v>602</v>
      </c>
      <c r="D87" s="37" t="s">
        <v>603</v>
      </c>
      <c r="E87" s="37" t="s">
        <v>604</v>
      </c>
      <c r="F87" s="37" t="s">
        <v>605</v>
      </c>
      <c r="G87" s="37" t="s">
        <v>606</v>
      </c>
      <c r="H87" s="37" t="s">
        <v>607</v>
      </c>
      <c r="I87" s="37" t="s">
        <v>608</v>
      </c>
      <c r="J87" s="37" t="s">
        <v>609</v>
      </c>
    </row>
    <row r="88" spans="1:10">
      <c r="A88" s="36"/>
      <c r="B88" s="35"/>
      <c r="C88" s="35"/>
      <c r="D88" s="35"/>
      <c r="E88" s="35">
        <v>1995</v>
      </c>
      <c r="F88" s="35"/>
      <c r="G88" s="35"/>
      <c r="H88" s="35"/>
      <c r="I88" s="35"/>
      <c r="J88" s="35"/>
    </row>
    <row r="89" spans="1:10">
      <c r="A89" t="s">
        <v>573</v>
      </c>
      <c r="B89">
        <v>34.299999999999997</v>
      </c>
      <c r="C89">
        <v>2.2999999999999998</v>
      </c>
      <c r="D89">
        <v>1.5</v>
      </c>
      <c r="E89">
        <v>9.6</v>
      </c>
      <c r="F89">
        <v>9.4</v>
      </c>
      <c r="G89">
        <v>0.7</v>
      </c>
      <c r="H89">
        <v>4.2</v>
      </c>
      <c r="I89">
        <v>6.2</v>
      </c>
      <c r="J89">
        <v>8.3000000000000007</v>
      </c>
    </row>
    <row r="90" spans="1:10">
      <c r="A90" t="s">
        <v>577</v>
      </c>
      <c r="B90">
        <v>45.6</v>
      </c>
      <c r="C90">
        <v>2.5</v>
      </c>
      <c r="D90">
        <v>1.3</v>
      </c>
      <c r="E90">
        <v>8.9</v>
      </c>
      <c r="F90">
        <v>10.3</v>
      </c>
      <c r="G90">
        <v>0.5</v>
      </c>
      <c r="H90">
        <v>3.5</v>
      </c>
      <c r="I90">
        <v>7.1</v>
      </c>
      <c r="J90">
        <v>8.9</v>
      </c>
    </row>
    <row r="91" spans="1:10">
      <c r="A91" t="s">
        <v>578</v>
      </c>
      <c r="B91">
        <v>34.9</v>
      </c>
      <c r="C91">
        <v>2.6</v>
      </c>
      <c r="D91">
        <v>1.3</v>
      </c>
      <c r="E91">
        <v>9.8000000000000007</v>
      </c>
      <c r="F91">
        <v>11</v>
      </c>
      <c r="G91">
        <v>0.5</v>
      </c>
      <c r="H91">
        <v>3.8</v>
      </c>
      <c r="I91">
        <v>7.4</v>
      </c>
      <c r="J91">
        <v>10.199999999999999</v>
      </c>
    </row>
    <row r="92" spans="1:10">
      <c r="A92" s="35"/>
      <c r="B92" s="35"/>
      <c r="C92" s="35"/>
      <c r="D92" s="35"/>
      <c r="E92" s="35">
        <v>1996</v>
      </c>
      <c r="F92" s="35"/>
      <c r="G92" s="35"/>
      <c r="H92" s="35"/>
      <c r="I92" s="35"/>
      <c r="J92" s="35"/>
    </row>
    <row r="93" spans="1:10">
      <c r="A93" t="s">
        <v>573</v>
      </c>
      <c r="B93">
        <v>15.6</v>
      </c>
      <c r="C93">
        <v>2.9</v>
      </c>
      <c r="D93">
        <v>1.3</v>
      </c>
      <c r="E93">
        <v>12.4</v>
      </c>
      <c r="F93">
        <v>14.4</v>
      </c>
      <c r="G93">
        <v>0.4</v>
      </c>
      <c r="H93">
        <v>4.2</v>
      </c>
      <c r="I93">
        <v>9.8000000000000007</v>
      </c>
      <c r="J93">
        <v>7.3</v>
      </c>
    </row>
    <row r="94" spans="1:10">
      <c r="A94" t="s">
        <v>577</v>
      </c>
      <c r="B94">
        <v>13.5</v>
      </c>
      <c r="C94">
        <v>2.9</v>
      </c>
      <c r="D94">
        <v>1.5</v>
      </c>
      <c r="E94">
        <v>13.3</v>
      </c>
      <c r="F94">
        <v>12</v>
      </c>
      <c r="G94">
        <v>0.5</v>
      </c>
      <c r="H94">
        <v>4.5999999999999996</v>
      </c>
      <c r="I94">
        <v>8.6999999999999993</v>
      </c>
      <c r="J94">
        <v>14.9</v>
      </c>
    </row>
    <row r="95" spans="1:10">
      <c r="A95" t="s">
        <v>578</v>
      </c>
      <c r="B95">
        <v>15.9</v>
      </c>
      <c r="C95">
        <v>3.1</v>
      </c>
      <c r="D95">
        <v>1.3</v>
      </c>
      <c r="E95">
        <v>12.7</v>
      </c>
      <c r="F95">
        <v>14</v>
      </c>
      <c r="G95">
        <v>0.5</v>
      </c>
      <c r="H95">
        <v>4.0999999999999996</v>
      </c>
      <c r="I95">
        <v>8.4</v>
      </c>
      <c r="J95">
        <v>11</v>
      </c>
    </row>
    <row r="96" spans="1:10">
      <c r="A96" s="35"/>
      <c r="B96" s="35"/>
      <c r="C96" s="35"/>
      <c r="D96" s="35"/>
      <c r="E96" s="35">
        <v>1997</v>
      </c>
      <c r="F96" s="35"/>
      <c r="G96" s="35"/>
      <c r="H96" s="35"/>
      <c r="I96" s="35"/>
      <c r="J96" s="35"/>
    </row>
    <row r="97" spans="1:15">
      <c r="A97" t="s">
        <v>573</v>
      </c>
      <c r="B97">
        <v>14.7</v>
      </c>
      <c r="C97">
        <v>2</v>
      </c>
      <c r="D97">
        <v>2.9</v>
      </c>
      <c r="E97">
        <v>9.9</v>
      </c>
      <c r="F97">
        <v>12.9</v>
      </c>
      <c r="G97">
        <v>1.5</v>
      </c>
      <c r="H97">
        <v>5.0999999999999996</v>
      </c>
      <c r="I97">
        <v>3.4</v>
      </c>
      <c r="J97">
        <v>15.3</v>
      </c>
    </row>
    <row r="98" spans="1:15">
      <c r="A98" t="s">
        <v>577</v>
      </c>
      <c r="B98">
        <v>14.5</v>
      </c>
      <c r="C98">
        <v>2.4</v>
      </c>
      <c r="D98">
        <v>3.1</v>
      </c>
      <c r="E98">
        <v>12.4</v>
      </c>
      <c r="F98">
        <v>12.8</v>
      </c>
      <c r="G98">
        <v>1.3</v>
      </c>
      <c r="H98">
        <v>5.2</v>
      </c>
      <c r="I98">
        <v>4.0999999999999996</v>
      </c>
      <c r="J98">
        <v>14.4</v>
      </c>
    </row>
    <row r="99" spans="1:15">
      <c r="A99" t="s">
        <v>578</v>
      </c>
      <c r="B99">
        <v>13.7</v>
      </c>
      <c r="C99">
        <v>1.7</v>
      </c>
      <c r="D99">
        <v>2.4</v>
      </c>
      <c r="E99">
        <v>11.1</v>
      </c>
      <c r="F99">
        <v>12</v>
      </c>
      <c r="G99">
        <v>1.4</v>
      </c>
      <c r="H99">
        <v>6.4</v>
      </c>
      <c r="I99">
        <v>4.5999999999999996</v>
      </c>
      <c r="J99">
        <v>18.100000000000001</v>
      </c>
    </row>
    <row r="100" spans="1:15">
      <c r="A100" s="35"/>
      <c r="B100" s="35"/>
      <c r="C100" s="35"/>
      <c r="D100" s="35"/>
      <c r="E100" s="35">
        <v>1998</v>
      </c>
      <c r="F100" s="35"/>
      <c r="G100" s="35"/>
      <c r="H100" s="35"/>
      <c r="I100" s="35"/>
      <c r="J100" s="35"/>
    </row>
    <row r="101" spans="1:15">
      <c r="A101" t="s">
        <v>573</v>
      </c>
      <c r="B101">
        <v>15.8</v>
      </c>
      <c r="C101">
        <v>2.4</v>
      </c>
      <c r="D101">
        <v>2</v>
      </c>
      <c r="E101">
        <v>12.4</v>
      </c>
      <c r="F101">
        <v>12.2</v>
      </c>
      <c r="G101">
        <v>0.9</v>
      </c>
      <c r="H101">
        <v>4.2</v>
      </c>
      <c r="I101">
        <v>5</v>
      </c>
      <c r="J101">
        <v>11.3</v>
      </c>
    </row>
    <row r="102" spans="1:15">
      <c r="A102" t="s">
        <v>577</v>
      </c>
      <c r="B102">
        <v>14.9</v>
      </c>
      <c r="C102">
        <v>2.5</v>
      </c>
      <c r="D102">
        <v>1.8</v>
      </c>
      <c r="E102">
        <v>1.3</v>
      </c>
      <c r="F102">
        <v>10.4</v>
      </c>
      <c r="G102">
        <v>0.7</v>
      </c>
      <c r="H102">
        <v>4.0999999999999996</v>
      </c>
      <c r="I102">
        <v>5.9</v>
      </c>
      <c r="J102">
        <v>10.1</v>
      </c>
    </row>
    <row r="103" spans="1:15">
      <c r="A103" t="s">
        <v>578</v>
      </c>
      <c r="B103">
        <v>18.100000000000001</v>
      </c>
      <c r="C103">
        <v>2.6</v>
      </c>
      <c r="D103">
        <v>1.8</v>
      </c>
      <c r="E103">
        <v>12.7</v>
      </c>
      <c r="F103">
        <v>9.8000000000000007</v>
      </c>
      <c r="G103">
        <v>0.7</v>
      </c>
      <c r="H103">
        <v>5.0999999999999996</v>
      </c>
      <c r="I103">
        <v>7.3</v>
      </c>
      <c r="J103">
        <v>7.1</v>
      </c>
    </row>
    <row r="106" spans="1:15">
      <c r="A106" s="26" t="s">
        <v>610</v>
      </c>
    </row>
    <row r="107" spans="1:15">
      <c r="A107" t="s">
        <v>611</v>
      </c>
    </row>
    <row r="108" spans="1:15" ht="14.25">
      <c r="A108" t="s">
        <v>612</v>
      </c>
    </row>
    <row r="110" spans="1:15">
      <c r="A110" s="26" t="s">
        <v>868</v>
      </c>
    </row>
    <row r="111" spans="1:15" ht="51">
      <c r="A111" s="34" t="s">
        <v>560</v>
      </c>
      <c r="B111" s="34" t="s">
        <v>617</v>
      </c>
      <c r="C111" s="34" t="s">
        <v>630</v>
      </c>
      <c r="D111" s="34" t="s">
        <v>618</v>
      </c>
      <c r="E111" s="34" t="s">
        <v>628</v>
      </c>
      <c r="F111" s="34" t="s">
        <v>627</v>
      </c>
      <c r="G111" s="34" t="s">
        <v>629</v>
      </c>
      <c r="H111" s="34" t="s">
        <v>632</v>
      </c>
      <c r="I111" s="34"/>
      <c r="J111" s="34" t="s">
        <v>617</v>
      </c>
      <c r="K111" s="34" t="s">
        <v>630</v>
      </c>
      <c r="L111" s="34" t="s">
        <v>618</v>
      </c>
      <c r="M111" s="34" t="s">
        <v>628</v>
      </c>
      <c r="N111" s="34" t="s">
        <v>627</v>
      </c>
      <c r="O111" s="34" t="s">
        <v>629</v>
      </c>
    </row>
    <row r="112" spans="1:15">
      <c r="A112" t="s">
        <v>570</v>
      </c>
      <c r="B112">
        <v>0.23</v>
      </c>
      <c r="C112">
        <v>0.23</v>
      </c>
      <c r="D112">
        <v>1.25</v>
      </c>
      <c r="E112">
        <v>2</v>
      </c>
      <c r="F112">
        <v>1.82</v>
      </c>
      <c r="G112">
        <v>3.82</v>
      </c>
      <c r="H112" t="s">
        <v>631</v>
      </c>
      <c r="J112" s="38">
        <f>B112*(10/4.42)</f>
        <v>0.52036199095022628</v>
      </c>
      <c r="K112" s="38">
        <f t="shared" ref="K112:O120" si="0">C112*(10/4.42)</f>
        <v>0.52036199095022628</v>
      </c>
      <c r="L112" s="38">
        <f t="shared" si="0"/>
        <v>2.8280542986425337</v>
      </c>
      <c r="M112" s="38">
        <f t="shared" si="0"/>
        <v>4.5248868778280542</v>
      </c>
      <c r="N112" s="38">
        <f t="shared" si="0"/>
        <v>4.1176470588235299</v>
      </c>
      <c r="O112" s="38">
        <f t="shared" si="0"/>
        <v>8.6425339366515832</v>
      </c>
    </row>
    <row r="113" spans="1:15">
      <c r="A113" t="s">
        <v>571</v>
      </c>
      <c r="B113">
        <v>0.24</v>
      </c>
      <c r="C113">
        <v>0.24</v>
      </c>
      <c r="D113">
        <f>1.56-B113</f>
        <v>1.32</v>
      </c>
      <c r="E113">
        <f>C113+D113</f>
        <v>1.56</v>
      </c>
      <c r="F113">
        <f>2.96-D113-B113</f>
        <v>1.4</v>
      </c>
      <c r="G113">
        <f>2.96</f>
        <v>2.96</v>
      </c>
      <c r="J113" s="38">
        <f t="shared" ref="J113:J120" si="1">B113*(10/4.42)</f>
        <v>0.54298642533936647</v>
      </c>
      <c r="K113" s="38">
        <f t="shared" si="0"/>
        <v>0.54298642533936647</v>
      </c>
      <c r="L113" s="38">
        <f t="shared" si="0"/>
        <v>2.9864253393665159</v>
      </c>
      <c r="M113" s="38">
        <f t="shared" si="0"/>
        <v>3.5294117647058822</v>
      </c>
      <c r="N113" s="38">
        <f t="shared" si="0"/>
        <v>3.1674208144796379</v>
      </c>
      <c r="O113" s="38">
        <f t="shared" si="0"/>
        <v>6.6968325791855206</v>
      </c>
    </row>
    <row r="114" spans="1:15">
      <c r="A114" t="s">
        <v>572</v>
      </c>
      <c r="B114">
        <v>0.22</v>
      </c>
      <c r="C114">
        <v>0.22</v>
      </c>
      <c r="D114">
        <f>1.3-B113</f>
        <v>1.06</v>
      </c>
      <c r="E114">
        <f t="shared" ref="E114:E120" si="2">C114+D114</f>
        <v>1.28</v>
      </c>
      <c r="F114">
        <f>2.18-D114-B114</f>
        <v>0.90000000000000013</v>
      </c>
      <c r="G114">
        <v>2.1800000000000002</v>
      </c>
      <c r="J114" s="38">
        <f t="shared" si="1"/>
        <v>0.49773755656108598</v>
      </c>
      <c r="K114" s="38">
        <f t="shared" si="0"/>
        <v>0.49773755656108598</v>
      </c>
      <c r="L114" s="38">
        <f t="shared" si="0"/>
        <v>2.3981900452488687</v>
      </c>
      <c r="M114" s="38">
        <f t="shared" si="0"/>
        <v>2.8959276018099547</v>
      </c>
      <c r="N114" s="38">
        <f t="shared" si="0"/>
        <v>2.0361990950226247</v>
      </c>
      <c r="O114" s="38">
        <f t="shared" si="0"/>
        <v>4.9321266968325794</v>
      </c>
    </row>
    <row r="115" spans="1:15">
      <c r="A115" t="s">
        <v>573</v>
      </c>
      <c r="B115">
        <v>0.23</v>
      </c>
      <c r="C115">
        <v>0.23</v>
      </c>
      <c r="D115">
        <f>1.83-B115</f>
        <v>1.6</v>
      </c>
      <c r="E115">
        <f t="shared" si="2"/>
        <v>1.83</v>
      </c>
      <c r="F115">
        <f>3.59-D115-B115</f>
        <v>1.7599999999999998</v>
      </c>
      <c r="G115">
        <v>3.59</v>
      </c>
      <c r="J115" s="38">
        <f t="shared" si="1"/>
        <v>0.52036199095022628</v>
      </c>
      <c r="K115" s="38">
        <f t="shared" si="0"/>
        <v>0.52036199095022628</v>
      </c>
      <c r="L115" s="38">
        <f t="shared" si="0"/>
        <v>3.6199095022624435</v>
      </c>
      <c r="M115" s="38">
        <f t="shared" si="0"/>
        <v>4.1402714932126701</v>
      </c>
      <c r="N115" s="38">
        <f t="shared" si="0"/>
        <v>3.9819004524886874</v>
      </c>
      <c r="O115" s="38">
        <f t="shared" si="0"/>
        <v>8.122171945701357</v>
      </c>
    </row>
    <row r="116" spans="1:15">
      <c r="A116" t="s">
        <v>574</v>
      </c>
      <c r="B116">
        <v>0.2</v>
      </c>
      <c r="C116">
        <v>0.2</v>
      </c>
      <c r="D116">
        <f>1.56-B1159</f>
        <v>1.56</v>
      </c>
      <c r="E116">
        <f t="shared" si="2"/>
        <v>1.76</v>
      </c>
      <c r="F116">
        <f>3.2-D116-B116</f>
        <v>1.4400000000000002</v>
      </c>
      <c r="G116">
        <v>3.2</v>
      </c>
      <c r="J116" s="38">
        <f t="shared" si="1"/>
        <v>0.45248868778280543</v>
      </c>
      <c r="K116" s="38">
        <f t="shared" si="0"/>
        <v>0.45248868778280543</v>
      </c>
      <c r="L116" s="38">
        <f t="shared" si="0"/>
        <v>3.5294117647058822</v>
      </c>
      <c r="M116" s="38">
        <f t="shared" si="0"/>
        <v>3.9819004524886878</v>
      </c>
      <c r="N116" s="38">
        <f t="shared" si="0"/>
        <v>3.2579185520361995</v>
      </c>
      <c r="O116" s="38">
        <f t="shared" si="0"/>
        <v>7.2398190045248869</v>
      </c>
    </row>
    <row r="117" spans="1:15">
      <c r="A117" t="s">
        <v>575</v>
      </c>
      <c r="B117">
        <v>0.25</v>
      </c>
      <c r="C117">
        <v>0.25</v>
      </c>
      <c r="D117">
        <f>1.95-B117</f>
        <v>1.7</v>
      </c>
      <c r="E117">
        <f t="shared" si="2"/>
        <v>1.95</v>
      </c>
      <c r="F117">
        <f>3.36-D117-B117</f>
        <v>1.41</v>
      </c>
      <c r="G117">
        <v>3.36</v>
      </c>
      <c r="J117" s="38">
        <f t="shared" si="1"/>
        <v>0.56561085972850678</v>
      </c>
      <c r="K117" s="38">
        <f t="shared" si="0"/>
        <v>0.56561085972850678</v>
      </c>
      <c r="L117" s="38">
        <f t="shared" si="0"/>
        <v>3.8461538461538458</v>
      </c>
      <c r="M117" s="38">
        <f t="shared" si="0"/>
        <v>4.4117647058823524</v>
      </c>
      <c r="N117" s="38">
        <f t="shared" si="0"/>
        <v>3.190045248868778</v>
      </c>
      <c r="O117" s="38">
        <f t="shared" si="0"/>
        <v>7.6018099547511309</v>
      </c>
    </row>
    <row r="118" spans="1:15">
      <c r="A118" t="s">
        <v>576</v>
      </c>
      <c r="B118">
        <v>0.26</v>
      </c>
      <c r="C118">
        <v>0.26</v>
      </c>
      <c r="D118">
        <f>2.04-B118</f>
        <v>1.78</v>
      </c>
      <c r="E118">
        <f t="shared" si="2"/>
        <v>2.04</v>
      </c>
      <c r="F118">
        <f>3.85-D118-B118</f>
        <v>1.8100000000000003</v>
      </c>
      <c r="G118">
        <v>3.85</v>
      </c>
      <c r="J118" s="38">
        <f t="shared" si="1"/>
        <v>0.58823529411764708</v>
      </c>
      <c r="K118" s="38">
        <f t="shared" si="0"/>
        <v>0.58823529411764708</v>
      </c>
      <c r="L118" s="38">
        <f t="shared" si="0"/>
        <v>4.0271493212669682</v>
      </c>
      <c r="M118" s="38">
        <f t="shared" si="0"/>
        <v>4.615384615384615</v>
      </c>
      <c r="N118" s="38">
        <f t="shared" si="0"/>
        <v>4.0950226244343897</v>
      </c>
      <c r="O118" s="38">
        <f t="shared" si="0"/>
        <v>8.7104072398190038</v>
      </c>
    </row>
    <row r="119" spans="1:15">
      <c r="A119" t="s">
        <v>577</v>
      </c>
      <c r="B119">
        <v>0.28000000000000003</v>
      </c>
      <c r="C119">
        <v>0.28000000000000003</v>
      </c>
      <c r="D119">
        <f>3.1-B119</f>
        <v>2.8200000000000003</v>
      </c>
      <c r="E119">
        <f t="shared" si="2"/>
        <v>3.1000000000000005</v>
      </c>
      <c r="F119">
        <f>5.38-D119-B119</f>
        <v>2.2799999999999994</v>
      </c>
      <c r="G119">
        <v>5.38</v>
      </c>
      <c r="J119" s="38">
        <f t="shared" si="1"/>
        <v>0.63348416289592768</v>
      </c>
      <c r="K119" s="38">
        <f t="shared" si="0"/>
        <v>0.63348416289592768</v>
      </c>
      <c r="L119" s="38">
        <f t="shared" si="0"/>
        <v>6.380090497737557</v>
      </c>
      <c r="M119" s="38">
        <f t="shared" si="0"/>
        <v>7.013574660633485</v>
      </c>
      <c r="N119" s="38">
        <f t="shared" si="0"/>
        <v>5.1583710407239804</v>
      </c>
      <c r="O119" s="38">
        <f t="shared" si="0"/>
        <v>12.171945701357465</v>
      </c>
    </row>
    <row r="120" spans="1:15">
      <c r="A120" t="s">
        <v>578</v>
      </c>
      <c r="B120">
        <v>0.2</v>
      </c>
      <c r="C120">
        <v>0.2</v>
      </c>
      <c r="D120">
        <f>1.1-B120</f>
        <v>0.90000000000000013</v>
      </c>
      <c r="E120">
        <f t="shared" si="2"/>
        <v>1.1000000000000001</v>
      </c>
      <c r="F120">
        <f>2.39-D120-B120</f>
        <v>1.29</v>
      </c>
      <c r="G120">
        <v>2.39</v>
      </c>
      <c r="J120" s="38">
        <f t="shared" si="1"/>
        <v>0.45248868778280543</v>
      </c>
      <c r="K120" s="38">
        <f t="shared" si="0"/>
        <v>0.45248868778280543</v>
      </c>
      <c r="L120" s="38">
        <f t="shared" si="0"/>
        <v>2.0361990950226247</v>
      </c>
      <c r="M120" s="38">
        <f t="shared" si="0"/>
        <v>2.4886877828054299</v>
      </c>
      <c r="N120" s="38">
        <f t="shared" si="0"/>
        <v>2.9185520361990949</v>
      </c>
      <c r="O120" s="38">
        <f t="shared" si="0"/>
        <v>5.4072398190045252</v>
      </c>
    </row>
    <row r="123" spans="1:15">
      <c r="A123" s="75" t="s">
        <v>614</v>
      </c>
      <c r="B123" s="62"/>
      <c r="C123" s="62"/>
      <c r="D123" s="62"/>
    </row>
    <row r="124" spans="1:15" ht="25.5">
      <c r="A124" s="76" t="s">
        <v>560</v>
      </c>
      <c r="B124" s="76" t="s">
        <v>613</v>
      </c>
      <c r="C124" s="76" t="s">
        <v>615</v>
      </c>
      <c r="D124" s="76" t="s">
        <v>616</v>
      </c>
    </row>
    <row r="125" spans="1:15">
      <c r="A125" s="62" t="s">
        <v>573</v>
      </c>
      <c r="B125" s="62">
        <v>58</v>
      </c>
      <c r="C125" s="62">
        <f>88-58</f>
        <v>30</v>
      </c>
      <c r="D125" s="62">
        <f>100-B125-C125</f>
        <v>12</v>
      </c>
    </row>
    <row r="126" spans="1:15">
      <c r="A126" s="62" t="s">
        <v>577</v>
      </c>
      <c r="B126" s="62">
        <v>55</v>
      </c>
      <c r="C126" s="62">
        <f>85-55</f>
        <v>30</v>
      </c>
      <c r="D126" s="62">
        <f>100-B126-C126</f>
        <v>15</v>
      </c>
    </row>
    <row r="127" spans="1:15">
      <c r="A127" s="62" t="s">
        <v>578</v>
      </c>
      <c r="B127" s="62">
        <v>50</v>
      </c>
      <c r="C127" s="62">
        <f>82-50</f>
        <v>32</v>
      </c>
      <c r="D127" s="62">
        <f>100-B127-C127</f>
        <v>18</v>
      </c>
    </row>
    <row r="130" spans="1:8">
      <c r="A130" s="26" t="s">
        <v>633</v>
      </c>
    </row>
    <row r="131" spans="1:8" ht="25.5">
      <c r="A131" s="34" t="s">
        <v>560</v>
      </c>
      <c r="B131" t="s">
        <v>634</v>
      </c>
    </row>
    <row r="132" spans="1:8">
      <c r="A132" t="s">
        <v>573</v>
      </c>
      <c r="B132">
        <v>1.1000000000000001</v>
      </c>
    </row>
    <row r="133" spans="1:8">
      <c r="A133" t="s">
        <v>577</v>
      </c>
      <c r="B133">
        <v>1.8</v>
      </c>
    </row>
    <row r="134" spans="1:8">
      <c r="A134" t="s">
        <v>578</v>
      </c>
      <c r="B134">
        <v>1</v>
      </c>
    </row>
    <row r="137" spans="1:8">
      <c r="A137" s="26" t="s">
        <v>635</v>
      </c>
    </row>
    <row r="138" spans="1:8" ht="25.5">
      <c r="A138" s="34" t="s">
        <v>560</v>
      </c>
      <c r="B138">
        <v>1995</v>
      </c>
      <c r="C138">
        <v>1996</v>
      </c>
      <c r="D138">
        <v>1997</v>
      </c>
      <c r="E138">
        <v>1998</v>
      </c>
    </row>
    <row r="139" spans="1:8">
      <c r="A139" t="s">
        <v>573</v>
      </c>
      <c r="B139">
        <v>22.6</v>
      </c>
      <c r="C139">
        <v>23.1</v>
      </c>
      <c r="D139">
        <v>28.4</v>
      </c>
      <c r="E139">
        <v>24.9</v>
      </c>
      <c r="H139" t="s">
        <v>636</v>
      </c>
    </row>
    <row r="140" spans="1:8">
      <c r="A140" t="s">
        <v>577</v>
      </c>
      <c r="B140">
        <v>22.6</v>
      </c>
      <c r="C140">
        <v>24</v>
      </c>
      <c r="D140">
        <v>33.200000000000003</v>
      </c>
      <c r="E140">
        <v>25.1</v>
      </c>
    </row>
    <row r="141" spans="1:8">
      <c r="A141" t="s">
        <v>578</v>
      </c>
      <c r="B141">
        <v>22</v>
      </c>
      <c r="C141">
        <v>23.8</v>
      </c>
      <c r="D141">
        <v>31.2</v>
      </c>
      <c r="E141">
        <v>26.9</v>
      </c>
    </row>
    <row r="144" spans="1:8">
      <c r="A144" s="26" t="s">
        <v>637</v>
      </c>
    </row>
    <row r="145" spans="1:8" ht="25.5">
      <c r="A145" s="34" t="s">
        <v>560</v>
      </c>
      <c r="B145">
        <v>1995</v>
      </c>
      <c r="C145">
        <v>1996</v>
      </c>
      <c r="D145">
        <v>1997</v>
      </c>
      <c r="E145">
        <v>1998</v>
      </c>
    </row>
    <row r="146" spans="1:8">
      <c r="A146" t="s">
        <v>573</v>
      </c>
      <c r="B146">
        <v>0.66</v>
      </c>
      <c r="C146">
        <v>1.48</v>
      </c>
      <c r="D146">
        <v>1.93</v>
      </c>
      <c r="E146">
        <v>1.58</v>
      </c>
      <c r="H146" t="s">
        <v>636</v>
      </c>
    </row>
    <row r="147" spans="1:8">
      <c r="A147" t="s">
        <v>577</v>
      </c>
      <c r="B147">
        <v>0.5</v>
      </c>
      <c r="C147">
        <v>1.78</v>
      </c>
      <c r="D147">
        <v>2.2999999999999998</v>
      </c>
      <c r="E147">
        <v>1.68</v>
      </c>
    </row>
    <row r="148" spans="1:8">
      <c r="A148" t="s">
        <v>578</v>
      </c>
      <c r="B148">
        <v>0.63</v>
      </c>
      <c r="C148">
        <v>1.5</v>
      </c>
      <c r="D148">
        <v>2.2799999999999998</v>
      </c>
      <c r="E148">
        <v>1.49</v>
      </c>
    </row>
    <row r="151" spans="1:8">
      <c r="A151" s="26" t="s">
        <v>638</v>
      </c>
    </row>
    <row r="152" spans="1:8" ht="25.5">
      <c r="A152" s="34" t="s">
        <v>560</v>
      </c>
      <c r="B152">
        <v>1995</v>
      </c>
      <c r="C152">
        <v>1996</v>
      </c>
      <c r="D152">
        <v>1997</v>
      </c>
      <c r="E152">
        <v>1998</v>
      </c>
    </row>
    <row r="153" spans="1:8">
      <c r="A153" t="s">
        <v>573</v>
      </c>
      <c r="B153">
        <v>9.9</v>
      </c>
      <c r="C153">
        <v>7.9</v>
      </c>
      <c r="D153">
        <v>14.6</v>
      </c>
      <c r="E153">
        <v>10.6</v>
      </c>
      <c r="H153" t="s">
        <v>636</v>
      </c>
    </row>
    <row r="154" spans="1:8">
      <c r="A154" t="s">
        <v>577</v>
      </c>
      <c r="B154">
        <v>8.9</v>
      </c>
      <c r="C154">
        <v>8.3000000000000007</v>
      </c>
      <c r="D154">
        <v>13.9</v>
      </c>
      <c r="E154">
        <v>9.9</v>
      </c>
    </row>
    <row r="155" spans="1:8">
      <c r="A155" t="s">
        <v>578</v>
      </c>
      <c r="B155">
        <v>8.5</v>
      </c>
      <c r="C155">
        <v>7.6</v>
      </c>
      <c r="D155">
        <v>18</v>
      </c>
      <c r="E155">
        <v>10.4</v>
      </c>
    </row>
    <row r="158" spans="1:8">
      <c r="A158" s="26" t="s">
        <v>639</v>
      </c>
    </row>
    <row r="159" spans="1:8" ht="25.5">
      <c r="A159" s="34" t="s">
        <v>560</v>
      </c>
      <c r="B159">
        <v>1995</v>
      </c>
      <c r="C159">
        <v>1996</v>
      </c>
      <c r="D159">
        <v>1997</v>
      </c>
      <c r="E159">
        <v>1998</v>
      </c>
    </row>
    <row r="160" spans="1:8">
      <c r="A160" t="s">
        <v>573</v>
      </c>
      <c r="B160">
        <v>2.36</v>
      </c>
      <c r="C160">
        <v>1.86</v>
      </c>
      <c r="D160">
        <v>2.86</v>
      </c>
      <c r="E160">
        <v>2.5099999999999998</v>
      </c>
      <c r="H160" t="s">
        <v>636</v>
      </c>
    </row>
    <row r="161" spans="1:8">
      <c r="A161" t="s">
        <v>577</v>
      </c>
      <c r="B161">
        <v>2.5299999999999998</v>
      </c>
      <c r="C161">
        <v>1.81</v>
      </c>
      <c r="D161">
        <v>2.68</v>
      </c>
      <c r="E161">
        <v>2.42</v>
      </c>
    </row>
    <row r="162" spans="1:8">
      <c r="A162" t="s">
        <v>578</v>
      </c>
      <c r="B162">
        <v>2.2400000000000002</v>
      </c>
      <c r="C162">
        <v>1.87</v>
      </c>
      <c r="D162">
        <v>2.81</v>
      </c>
      <c r="E162">
        <v>2.04</v>
      </c>
    </row>
    <row r="165" spans="1:8">
      <c r="A165" s="26" t="s">
        <v>640</v>
      </c>
    </row>
    <row r="166" spans="1:8" ht="25.5">
      <c r="A166" s="34" t="s">
        <v>560</v>
      </c>
      <c r="B166">
        <v>1995</v>
      </c>
      <c r="C166">
        <v>1996</v>
      </c>
      <c r="D166">
        <v>1997</v>
      </c>
      <c r="E166">
        <v>1998</v>
      </c>
    </row>
    <row r="167" spans="1:8">
      <c r="A167" t="s">
        <v>573</v>
      </c>
      <c r="B167">
        <v>14.68</v>
      </c>
      <c r="C167">
        <v>18.23</v>
      </c>
      <c r="D167">
        <v>9.77</v>
      </c>
      <c r="E167">
        <v>12.48</v>
      </c>
      <c r="H167" t="s">
        <v>636</v>
      </c>
    </row>
    <row r="168" spans="1:8">
      <c r="A168" t="s">
        <v>577</v>
      </c>
      <c r="B168">
        <v>17.97</v>
      </c>
      <c r="C168">
        <v>15.83</v>
      </c>
      <c r="D168">
        <v>10.9</v>
      </c>
      <c r="E168">
        <v>14.19</v>
      </c>
    </row>
    <row r="169" spans="1:8">
      <c r="A169" t="s">
        <v>578</v>
      </c>
      <c r="B169">
        <v>16.579999999999998</v>
      </c>
      <c r="C169">
        <v>15.71</v>
      </c>
      <c r="D169">
        <v>12.79</v>
      </c>
      <c r="E169">
        <v>14.85</v>
      </c>
    </row>
    <row r="172" spans="1:8">
      <c r="A172" s="26" t="s">
        <v>641</v>
      </c>
    </row>
    <row r="173" spans="1:8">
      <c r="A173" s="34"/>
      <c r="B173" t="s">
        <v>642</v>
      </c>
      <c r="C173" t="s">
        <v>643</v>
      </c>
      <c r="D173" t="s">
        <v>644</v>
      </c>
      <c r="E173" t="s">
        <v>598</v>
      </c>
    </row>
    <row r="174" spans="1:8">
      <c r="B174" s="39" t="s">
        <v>645</v>
      </c>
      <c r="C174" s="39" t="s">
        <v>645</v>
      </c>
      <c r="D174" s="39" t="s">
        <v>645</v>
      </c>
      <c r="E174" s="40" t="s">
        <v>646</v>
      </c>
    </row>
    <row r="175" spans="1:8">
      <c r="A175" s="35"/>
      <c r="B175" s="35">
        <v>1995</v>
      </c>
      <c r="C175" s="35"/>
      <c r="D175" s="35"/>
      <c r="E175" s="35"/>
    </row>
    <row r="176" spans="1:8">
      <c r="A176" t="s">
        <v>573</v>
      </c>
      <c r="B176">
        <v>57</v>
      </c>
      <c r="C176">
        <v>350</v>
      </c>
      <c r="D176">
        <v>80</v>
      </c>
      <c r="E176">
        <v>2.4</v>
      </c>
    </row>
    <row r="177" spans="1:5">
      <c r="A177" t="s">
        <v>577</v>
      </c>
      <c r="B177">
        <v>70</v>
      </c>
      <c r="C177">
        <v>320</v>
      </c>
      <c r="D177">
        <v>56</v>
      </c>
      <c r="E177">
        <v>2.2000000000000002</v>
      </c>
    </row>
    <row r="178" spans="1:5">
      <c r="A178" t="s">
        <v>578</v>
      </c>
      <c r="B178">
        <v>76</v>
      </c>
      <c r="C178">
        <v>329</v>
      </c>
      <c r="D178">
        <v>62</v>
      </c>
      <c r="E178">
        <v>2</v>
      </c>
    </row>
    <row r="179" spans="1:5">
      <c r="A179" s="41"/>
      <c r="B179" s="35">
        <v>1996</v>
      </c>
      <c r="C179" s="35"/>
      <c r="D179" s="35"/>
      <c r="E179" s="35"/>
    </row>
    <row r="180" spans="1:5">
      <c r="A180" t="s">
        <v>573</v>
      </c>
      <c r="B180">
        <v>133</v>
      </c>
      <c r="C180">
        <v>623</v>
      </c>
      <c r="D180">
        <v>203</v>
      </c>
      <c r="E180">
        <v>1.6</v>
      </c>
    </row>
    <row r="181" spans="1:5">
      <c r="A181" t="s">
        <v>577</v>
      </c>
      <c r="B181">
        <v>167</v>
      </c>
      <c r="C181">
        <v>333</v>
      </c>
      <c r="D181">
        <v>120</v>
      </c>
      <c r="E181">
        <v>2</v>
      </c>
    </row>
    <row r="182" spans="1:5">
      <c r="A182" t="s">
        <v>578</v>
      </c>
      <c r="B182">
        <v>147</v>
      </c>
      <c r="C182">
        <v>349</v>
      </c>
      <c r="D182">
        <v>136</v>
      </c>
      <c r="E182">
        <v>1.7</v>
      </c>
    </row>
    <row r="183" spans="1:5">
      <c r="A183" s="41"/>
      <c r="B183" s="35">
        <v>1997</v>
      </c>
      <c r="C183" s="35"/>
      <c r="D183" s="35"/>
      <c r="E183" s="35"/>
    </row>
    <row r="184" spans="1:5">
      <c r="A184" t="s">
        <v>573</v>
      </c>
      <c r="B184">
        <v>27</v>
      </c>
      <c r="C184">
        <v>100</v>
      </c>
      <c r="D184">
        <v>126</v>
      </c>
      <c r="E184">
        <v>2.2000000000000002</v>
      </c>
    </row>
    <row r="185" spans="1:5">
      <c r="A185" t="s">
        <v>577</v>
      </c>
      <c r="B185">
        <v>33</v>
      </c>
      <c r="C185">
        <v>117</v>
      </c>
      <c r="D185">
        <v>159</v>
      </c>
      <c r="E185">
        <v>2.6</v>
      </c>
    </row>
    <row r="186" spans="1:5">
      <c r="A186" t="s">
        <v>578</v>
      </c>
      <c r="B186">
        <v>37</v>
      </c>
      <c r="C186">
        <v>117</v>
      </c>
      <c r="D186">
        <v>133</v>
      </c>
      <c r="E186">
        <v>2.6</v>
      </c>
    </row>
    <row r="187" spans="1:5">
      <c r="A187" s="41"/>
      <c r="B187" s="35">
        <v>1998</v>
      </c>
      <c r="C187" s="35"/>
      <c r="D187" s="35"/>
      <c r="E187" s="35"/>
    </row>
    <row r="188" spans="1:5">
      <c r="A188" t="s">
        <v>573</v>
      </c>
      <c r="B188">
        <v>26</v>
      </c>
      <c r="C188">
        <v>200</v>
      </c>
      <c r="D188">
        <v>140</v>
      </c>
      <c r="E188">
        <v>2.1</v>
      </c>
    </row>
    <row r="189" spans="1:5">
      <c r="A189" t="s">
        <v>577</v>
      </c>
      <c r="B189">
        <v>30</v>
      </c>
      <c r="C189">
        <v>346</v>
      </c>
      <c r="D189">
        <v>167</v>
      </c>
      <c r="E189">
        <v>2.4</v>
      </c>
    </row>
    <row r="190" spans="1:5">
      <c r="A190" t="s">
        <v>578</v>
      </c>
      <c r="B190">
        <v>40</v>
      </c>
      <c r="C190">
        <v>215</v>
      </c>
      <c r="D190">
        <v>210</v>
      </c>
      <c r="E190">
        <v>2.7</v>
      </c>
    </row>
    <row r="191" spans="1:5">
      <c r="A191" s="26"/>
    </row>
    <row r="193" spans="1:10">
      <c r="A193" s="26" t="s">
        <v>650</v>
      </c>
    </row>
    <row r="194" spans="1:10">
      <c r="A194" s="49" t="s">
        <v>646</v>
      </c>
      <c r="B194" s="45" t="s">
        <v>313</v>
      </c>
      <c r="C194" s="43"/>
      <c r="D194" s="45" t="s">
        <v>314</v>
      </c>
      <c r="E194" s="43"/>
      <c r="F194" s="45" t="s">
        <v>316</v>
      </c>
      <c r="G194" s="46"/>
    </row>
    <row r="195" spans="1:10">
      <c r="A195" s="48" t="s">
        <v>651</v>
      </c>
      <c r="B195" s="47" t="s">
        <v>652</v>
      </c>
      <c r="C195" s="48" t="s">
        <v>653</v>
      </c>
      <c r="D195" s="47" t="s">
        <v>652</v>
      </c>
      <c r="E195" s="48" t="s">
        <v>653</v>
      </c>
      <c r="F195" s="47" t="s">
        <v>652</v>
      </c>
      <c r="G195" s="47" t="s">
        <v>653</v>
      </c>
    </row>
    <row r="196" spans="1:10">
      <c r="A196" s="44" t="s">
        <v>573</v>
      </c>
      <c r="B196">
        <v>2.2999999999999998</v>
      </c>
      <c r="C196" s="44">
        <v>2.9</v>
      </c>
      <c r="D196">
        <v>0.54</v>
      </c>
      <c r="E196" s="44">
        <v>0.85</v>
      </c>
      <c r="F196" s="50">
        <v>5.7</v>
      </c>
      <c r="G196" s="50">
        <v>7.1</v>
      </c>
    </row>
    <row r="197" spans="1:10">
      <c r="A197" s="44" t="s">
        <v>577</v>
      </c>
      <c r="B197">
        <v>2.35</v>
      </c>
      <c r="C197" s="44">
        <v>3.05</v>
      </c>
      <c r="D197">
        <v>0.55000000000000004</v>
      </c>
      <c r="E197" s="44">
        <v>0.87</v>
      </c>
      <c r="F197" s="50">
        <v>5.87</v>
      </c>
      <c r="G197" s="50">
        <v>7.23</v>
      </c>
    </row>
    <row r="198" spans="1:10">
      <c r="A198" s="44" t="s">
        <v>578</v>
      </c>
      <c r="B198">
        <v>2.27</v>
      </c>
      <c r="C198" s="44">
        <v>2.86</v>
      </c>
      <c r="D198">
        <v>0.51</v>
      </c>
      <c r="E198" s="44">
        <v>0.81</v>
      </c>
      <c r="F198" s="50">
        <v>5.54</v>
      </c>
      <c r="G198" s="50">
        <v>6.98</v>
      </c>
    </row>
    <row r="201" spans="1:10">
      <c r="A201" s="26" t="s">
        <v>654</v>
      </c>
    </row>
    <row r="202" spans="1:10">
      <c r="A202" s="49" t="s">
        <v>646</v>
      </c>
      <c r="C202" s="46" t="s">
        <v>313</v>
      </c>
      <c r="D202" s="44"/>
      <c r="F202" s="46" t="s">
        <v>314</v>
      </c>
      <c r="G202" s="44"/>
      <c r="I202" t="s">
        <v>316</v>
      </c>
    </row>
    <row r="203" spans="1:10">
      <c r="A203" s="48" t="s">
        <v>651</v>
      </c>
      <c r="B203" s="47" t="s">
        <v>652</v>
      </c>
      <c r="C203" s="47" t="s">
        <v>653</v>
      </c>
      <c r="D203" s="48" t="s">
        <v>655</v>
      </c>
      <c r="E203" s="47" t="s">
        <v>652</v>
      </c>
      <c r="F203" s="47" t="s">
        <v>653</v>
      </c>
      <c r="G203" s="52" t="s">
        <v>655</v>
      </c>
      <c r="H203" s="47" t="s">
        <v>652</v>
      </c>
      <c r="I203" s="47" t="s">
        <v>653</v>
      </c>
      <c r="J203" s="51" t="s">
        <v>655</v>
      </c>
    </row>
    <row r="204" spans="1:10">
      <c r="A204" s="44" t="s">
        <v>573</v>
      </c>
      <c r="B204">
        <v>5.0599999999999996</v>
      </c>
      <c r="C204" s="46">
        <v>9.2100000000000009</v>
      </c>
      <c r="D204" s="44">
        <v>8.5399999999999991</v>
      </c>
      <c r="E204" s="46">
        <v>0.64</v>
      </c>
      <c r="F204" s="50">
        <v>1.17</v>
      </c>
      <c r="G204" s="44">
        <v>1.88</v>
      </c>
      <c r="H204" s="50">
        <v>6.18</v>
      </c>
      <c r="I204" s="50">
        <v>9.1199999999999992</v>
      </c>
      <c r="J204" s="50">
        <v>13.62</v>
      </c>
    </row>
    <row r="205" spans="1:10">
      <c r="A205" s="44" t="s">
        <v>577</v>
      </c>
      <c r="B205">
        <v>5.22</v>
      </c>
      <c r="C205" s="46">
        <v>9.85</v>
      </c>
      <c r="D205" s="44">
        <v>8.67</v>
      </c>
      <c r="E205" s="46">
        <v>0.67</v>
      </c>
      <c r="F205" s="50">
        <v>1.2</v>
      </c>
      <c r="G205" s="44">
        <v>1.87</v>
      </c>
      <c r="H205" s="50">
        <v>6.58</v>
      </c>
      <c r="I205" s="50">
        <v>9.2899999999999991</v>
      </c>
      <c r="J205" s="50">
        <v>13.98</v>
      </c>
    </row>
    <row r="206" spans="1:10">
      <c r="A206" s="44" t="s">
        <v>578</v>
      </c>
      <c r="B206">
        <v>4.9800000000000004</v>
      </c>
      <c r="C206" s="46">
        <v>7.97</v>
      </c>
      <c r="D206" s="44">
        <v>8.42</v>
      </c>
      <c r="E206" s="46">
        <v>0.59</v>
      </c>
      <c r="F206" s="50">
        <v>1.05</v>
      </c>
      <c r="G206" s="44">
        <v>1.83</v>
      </c>
      <c r="H206" s="50">
        <v>5.98</v>
      </c>
      <c r="I206" s="50">
        <v>8.6999999999999993</v>
      </c>
      <c r="J206" s="50">
        <v>12.87</v>
      </c>
    </row>
    <row r="209" spans="1:15">
      <c r="A209" s="26" t="s">
        <v>657</v>
      </c>
    </row>
    <row r="210" spans="1:15">
      <c r="A210" t="s">
        <v>646</v>
      </c>
      <c r="B210" s="42" t="s">
        <v>313</v>
      </c>
      <c r="C210" s="42" t="s">
        <v>656</v>
      </c>
      <c r="D210" s="42" t="s">
        <v>598</v>
      </c>
      <c r="E210" s="42" t="s">
        <v>656</v>
      </c>
      <c r="F210" s="42" t="s">
        <v>314</v>
      </c>
      <c r="G210" s="42" t="s">
        <v>656</v>
      </c>
      <c r="H210" s="42" t="s">
        <v>315</v>
      </c>
      <c r="I210" s="42" t="s">
        <v>656</v>
      </c>
      <c r="J210" s="42" t="s">
        <v>329</v>
      </c>
      <c r="K210" s="42" t="s">
        <v>656</v>
      </c>
      <c r="L210" s="42" t="s">
        <v>316</v>
      </c>
      <c r="M210" s="42" t="s">
        <v>656</v>
      </c>
    </row>
    <row r="211" spans="1:15">
      <c r="A211" t="s">
        <v>573</v>
      </c>
      <c r="B211">
        <v>6.48</v>
      </c>
      <c r="C211">
        <v>0.41</v>
      </c>
      <c r="D211">
        <v>0.41</v>
      </c>
      <c r="E211">
        <v>0.03</v>
      </c>
      <c r="F211">
        <v>0.82</v>
      </c>
      <c r="G211">
        <v>0.15</v>
      </c>
      <c r="H211">
        <v>4.67</v>
      </c>
      <c r="I211">
        <v>0.18</v>
      </c>
      <c r="J211">
        <v>0.76</v>
      </c>
      <c r="K211">
        <v>0.08</v>
      </c>
      <c r="L211">
        <v>6.18</v>
      </c>
      <c r="M211">
        <v>0.5</v>
      </c>
    </row>
    <row r="212" spans="1:15">
      <c r="A212" t="s">
        <v>577</v>
      </c>
      <c r="B212">
        <v>6.9</v>
      </c>
      <c r="C212">
        <v>0.32</v>
      </c>
      <c r="D212">
        <v>0.42</v>
      </c>
      <c r="E212">
        <v>0.03</v>
      </c>
      <c r="F212">
        <v>0.86</v>
      </c>
      <c r="G212">
        <v>0.14000000000000001</v>
      </c>
      <c r="H212">
        <v>4.88</v>
      </c>
      <c r="I212">
        <v>0.19</v>
      </c>
      <c r="J212">
        <v>0.8</v>
      </c>
      <c r="K212">
        <v>0.09</v>
      </c>
      <c r="L212">
        <v>5.98</v>
      </c>
      <c r="M212">
        <v>0.38</v>
      </c>
    </row>
    <row r="213" spans="1:15">
      <c r="A213" t="s">
        <v>578</v>
      </c>
      <c r="B213">
        <v>6.18</v>
      </c>
      <c r="C213">
        <v>0.38</v>
      </c>
      <c r="D213">
        <v>0.42</v>
      </c>
      <c r="E213">
        <v>0.04</v>
      </c>
      <c r="F213">
        <v>0.77</v>
      </c>
      <c r="G213">
        <v>0.16</v>
      </c>
      <c r="H213">
        <v>4.59</v>
      </c>
      <c r="I213">
        <v>0.18</v>
      </c>
      <c r="J213">
        <v>0.72</v>
      </c>
      <c r="K213">
        <v>0.08</v>
      </c>
      <c r="L213">
        <v>7.28</v>
      </c>
      <c r="M213">
        <v>0.3</v>
      </c>
    </row>
    <row r="216" spans="1:15">
      <c r="A216" s="26" t="s">
        <v>684</v>
      </c>
    </row>
    <row r="217" spans="1:15">
      <c r="A217" t="s">
        <v>683</v>
      </c>
      <c r="B217" t="s">
        <v>685</v>
      </c>
      <c r="C217" t="s">
        <v>686</v>
      </c>
      <c r="D217" t="s">
        <v>687</v>
      </c>
      <c r="E217" t="s">
        <v>688</v>
      </c>
      <c r="F217" t="s">
        <v>689</v>
      </c>
      <c r="G217" t="s">
        <v>690</v>
      </c>
      <c r="J217" t="s">
        <v>685</v>
      </c>
      <c r="K217" t="s">
        <v>686</v>
      </c>
      <c r="L217" t="s">
        <v>687</v>
      </c>
      <c r="M217" t="s">
        <v>688</v>
      </c>
      <c r="N217" t="s">
        <v>689</v>
      </c>
      <c r="O217" t="s">
        <v>690</v>
      </c>
    </row>
    <row r="218" spans="1:15">
      <c r="A218" t="s">
        <v>573</v>
      </c>
      <c r="B218">
        <v>0.14000000000000001</v>
      </c>
      <c r="C218">
        <v>0.14000000000000001</v>
      </c>
      <c r="D218">
        <f>1.05-C218</f>
        <v>0.91</v>
      </c>
      <c r="E218">
        <f>C218+D218</f>
        <v>1.05</v>
      </c>
      <c r="F218">
        <f>2.04-E218</f>
        <v>0.99</v>
      </c>
      <c r="G218">
        <v>2.04</v>
      </c>
      <c r="H218" t="s">
        <v>691</v>
      </c>
      <c r="J218" s="55">
        <f>B218*(110/4.3)</f>
        <v>3.5813953488372099</v>
      </c>
      <c r="K218" s="55">
        <f t="shared" ref="J218:K220" si="3">C218*(110/4.3)</f>
        <v>3.5813953488372099</v>
      </c>
      <c r="L218" s="55">
        <f t="shared" ref="L218:O220" si="4">D218*(110/4.3)</f>
        <v>23.279069767441865</v>
      </c>
      <c r="M218" s="55">
        <f t="shared" si="4"/>
        <v>26.860465116279073</v>
      </c>
      <c r="N218" s="55">
        <f t="shared" si="4"/>
        <v>25.325581395348841</v>
      </c>
      <c r="O218" s="55">
        <f t="shared" si="4"/>
        <v>52.186046511627914</v>
      </c>
    </row>
    <row r="219" spans="1:15">
      <c r="A219" t="s">
        <v>577</v>
      </c>
      <c r="B219">
        <v>0.18</v>
      </c>
      <c r="C219">
        <v>0.18</v>
      </c>
      <c r="D219">
        <f>1.62-C219</f>
        <v>1.4400000000000002</v>
      </c>
      <c r="E219">
        <f>C219+D219</f>
        <v>1.62</v>
      </c>
      <c r="F219">
        <f>3.2-E219</f>
        <v>1.58</v>
      </c>
      <c r="G219">
        <v>3.2</v>
      </c>
      <c r="H219" t="s">
        <v>692</v>
      </c>
      <c r="J219" s="55">
        <f t="shared" si="3"/>
        <v>4.6046511627906979</v>
      </c>
      <c r="K219" s="55">
        <f t="shared" si="3"/>
        <v>4.6046511627906979</v>
      </c>
      <c r="L219" s="55">
        <f t="shared" si="4"/>
        <v>36.83720930232559</v>
      </c>
      <c r="M219" s="55">
        <f t="shared" si="4"/>
        <v>41.441860465116285</v>
      </c>
      <c r="N219" s="55">
        <f t="shared" si="4"/>
        <v>40.418604651162795</v>
      </c>
      <c r="O219" s="55">
        <f t="shared" si="4"/>
        <v>81.860465116279087</v>
      </c>
    </row>
    <row r="220" spans="1:15">
      <c r="A220" t="s">
        <v>578</v>
      </c>
      <c r="B220">
        <v>0.12</v>
      </c>
      <c r="C220">
        <v>0.12</v>
      </c>
      <c r="D220">
        <f>0.6-C220</f>
        <v>0.48</v>
      </c>
      <c r="E220">
        <f>C220+D220</f>
        <v>0.6</v>
      </c>
      <c r="F220">
        <f>1.31-E220</f>
        <v>0.71000000000000008</v>
      </c>
      <c r="G220">
        <v>1.31</v>
      </c>
      <c r="H220" t="s">
        <v>693</v>
      </c>
      <c r="J220" s="55">
        <f t="shared" si="3"/>
        <v>3.0697674418604652</v>
      </c>
      <c r="K220" s="55">
        <f t="shared" si="3"/>
        <v>3.0697674418604652</v>
      </c>
      <c r="L220" s="55">
        <f t="shared" si="4"/>
        <v>12.279069767441861</v>
      </c>
      <c r="M220" s="55">
        <f t="shared" si="4"/>
        <v>15.348837209302326</v>
      </c>
      <c r="N220" s="55">
        <f t="shared" si="4"/>
        <v>18.162790697674424</v>
      </c>
      <c r="O220" s="55">
        <f t="shared" si="4"/>
        <v>33.511627906976749</v>
      </c>
    </row>
    <row r="223" spans="1:15">
      <c r="A223" s="26" t="s">
        <v>658</v>
      </c>
    </row>
    <row r="224" spans="1:15">
      <c r="B224" t="s">
        <v>660</v>
      </c>
      <c r="C224" t="s">
        <v>659</v>
      </c>
    </row>
    <row r="225" spans="1:3">
      <c r="A225" t="s">
        <v>573</v>
      </c>
      <c r="B225">
        <v>9.3000000000000007</v>
      </c>
      <c r="C225">
        <v>1</v>
      </c>
    </row>
    <row r="226" spans="1:3">
      <c r="A226" t="s">
        <v>577</v>
      </c>
      <c r="B226">
        <v>15.4</v>
      </c>
      <c r="C226">
        <v>2.1</v>
      </c>
    </row>
    <row r="227" spans="1:3">
      <c r="A227" t="s">
        <v>578</v>
      </c>
      <c r="B227">
        <v>8.1999999999999993</v>
      </c>
      <c r="C227">
        <v>0.9</v>
      </c>
    </row>
    <row r="230" spans="1:3">
      <c r="A230" s="26" t="s">
        <v>667</v>
      </c>
    </row>
    <row r="231" spans="1:3">
      <c r="B231" t="s">
        <v>662</v>
      </c>
    </row>
    <row r="232" spans="1:3" ht="25.5">
      <c r="A232" s="34" t="s">
        <v>664</v>
      </c>
      <c r="B232" s="42" t="s">
        <v>663</v>
      </c>
    </row>
    <row r="233" spans="1:3">
      <c r="A233" t="s">
        <v>661</v>
      </c>
      <c r="B233" s="42">
        <v>9</v>
      </c>
    </row>
    <row r="234" spans="1:3">
      <c r="A234" s="53" t="s">
        <v>665</v>
      </c>
      <c r="B234" s="42"/>
    </row>
    <row r="235" spans="1:3">
      <c r="A235" t="s">
        <v>313</v>
      </c>
      <c r="B235" s="42" t="s">
        <v>668</v>
      </c>
    </row>
    <row r="236" spans="1:3">
      <c r="A236" t="s">
        <v>661</v>
      </c>
      <c r="B236" s="42">
        <v>56</v>
      </c>
    </row>
    <row r="237" spans="1:3">
      <c r="A237" t="s">
        <v>314</v>
      </c>
      <c r="B237" s="42" t="s">
        <v>669</v>
      </c>
    </row>
    <row r="238" spans="1:3">
      <c r="A238" t="s">
        <v>661</v>
      </c>
      <c r="B238" s="42">
        <v>6.3</v>
      </c>
    </row>
    <row r="239" spans="1:3">
      <c r="A239" t="s">
        <v>316</v>
      </c>
      <c r="B239" s="42" t="s">
        <v>670</v>
      </c>
    </row>
    <row r="240" spans="1:3">
      <c r="A240" t="s">
        <v>661</v>
      </c>
      <c r="B240" s="42">
        <v>55.5</v>
      </c>
    </row>
    <row r="241" spans="1:4">
      <c r="A241" s="53" t="s">
        <v>666</v>
      </c>
      <c r="B241" s="54"/>
    </row>
    <row r="242" spans="1:4">
      <c r="A242" t="s">
        <v>313</v>
      </c>
      <c r="B242" s="42" t="s">
        <v>671</v>
      </c>
    </row>
    <row r="243" spans="1:4">
      <c r="A243" t="s">
        <v>661</v>
      </c>
      <c r="B243" s="42">
        <v>161</v>
      </c>
    </row>
    <row r="244" spans="1:4">
      <c r="A244" t="s">
        <v>314</v>
      </c>
      <c r="B244" s="42" t="s">
        <v>672</v>
      </c>
    </row>
    <row r="245" spans="1:4">
      <c r="A245" t="s">
        <v>661</v>
      </c>
      <c r="B245" s="42">
        <v>1429</v>
      </c>
      <c r="D245" t="s">
        <v>680</v>
      </c>
    </row>
    <row r="246" spans="1:4">
      <c r="A246" t="s">
        <v>316</v>
      </c>
      <c r="B246" s="42" t="s">
        <v>681</v>
      </c>
    </row>
    <row r="247" spans="1:4">
      <c r="A247" t="s">
        <v>661</v>
      </c>
      <c r="B247" s="42">
        <v>162</v>
      </c>
      <c r="D247" t="s">
        <v>682</v>
      </c>
    </row>
    <row r="252" spans="1:4">
      <c r="A252" s="26" t="s">
        <v>836</v>
      </c>
    </row>
    <row r="253" spans="1:4">
      <c r="A253" s="26"/>
    </row>
    <row r="254" spans="1:4">
      <c r="A254" s="26"/>
    </row>
    <row r="255" spans="1:4">
      <c r="A255" s="26"/>
    </row>
    <row r="256" spans="1:4">
      <c r="A256" s="26"/>
    </row>
    <row r="257" spans="1:1">
      <c r="A257" s="26"/>
    </row>
    <row r="258" spans="1:1">
      <c r="A258" s="26"/>
    </row>
    <row r="260" spans="1:1">
      <c r="A260" s="26" t="s">
        <v>842</v>
      </c>
    </row>
    <row r="261" spans="1:1">
      <c r="A261" t="s">
        <v>838</v>
      </c>
    </row>
    <row r="262" spans="1:1">
      <c r="A262" t="s">
        <v>837</v>
      </c>
    </row>
    <row r="264" spans="1:1">
      <c r="A264" s="26" t="s">
        <v>839</v>
      </c>
    </row>
    <row r="265" spans="1:1">
      <c r="A265" t="s">
        <v>840</v>
      </c>
    </row>
    <row r="266" spans="1:1">
      <c r="A266" t="s">
        <v>841</v>
      </c>
    </row>
    <row r="268" spans="1:1">
      <c r="A268" s="26" t="s">
        <v>843</v>
      </c>
    </row>
    <row r="269" spans="1:1">
      <c r="A269" t="s">
        <v>844</v>
      </c>
    </row>
    <row r="270" spans="1:1">
      <c r="A270" t="s">
        <v>845</v>
      </c>
    </row>
    <row r="272" spans="1:1">
      <c r="A272" s="26" t="s">
        <v>846</v>
      </c>
    </row>
    <row r="273" spans="1:7">
      <c r="C273" s="59" t="s">
        <v>854</v>
      </c>
      <c r="D273" t="s">
        <v>855</v>
      </c>
      <c r="E273" s="59" t="s">
        <v>854</v>
      </c>
      <c r="F273" t="s">
        <v>855</v>
      </c>
    </row>
    <row r="274" spans="1:7">
      <c r="A274" s="35" t="s">
        <v>847</v>
      </c>
      <c r="B274" s="35"/>
      <c r="C274" s="60">
        <v>35656</v>
      </c>
      <c r="D274" s="58">
        <v>35656</v>
      </c>
      <c r="E274" s="60">
        <v>35674</v>
      </c>
      <c r="F274" s="58">
        <v>35675</v>
      </c>
    </row>
    <row r="275" spans="1:7">
      <c r="A275" t="s">
        <v>848</v>
      </c>
      <c r="C275" s="59">
        <v>18.100000000000001</v>
      </c>
      <c r="D275">
        <v>18.600000000000001</v>
      </c>
      <c r="E275" s="59">
        <v>12.1</v>
      </c>
      <c r="F275" s="50">
        <v>17.2</v>
      </c>
    </row>
    <row r="276" spans="1:7">
      <c r="A276" t="s">
        <v>849</v>
      </c>
      <c r="C276" s="59">
        <v>1579</v>
      </c>
      <c r="D276">
        <v>1553</v>
      </c>
      <c r="E276" s="59">
        <v>847</v>
      </c>
      <c r="F276" s="50">
        <v>1033</v>
      </c>
    </row>
    <row r="277" spans="1:7">
      <c r="A277" t="s">
        <v>850</v>
      </c>
      <c r="C277" s="59">
        <v>99.4</v>
      </c>
      <c r="D277">
        <v>69.2</v>
      </c>
      <c r="E277" s="59">
        <v>141.9</v>
      </c>
      <c r="F277" s="50">
        <v>72.900000000000006</v>
      </c>
      <c r="G277" t="s">
        <v>856</v>
      </c>
    </row>
    <row r="278" spans="1:7">
      <c r="A278" s="47" t="s">
        <v>851</v>
      </c>
      <c r="B278" s="47"/>
      <c r="C278" s="61">
        <v>0.06</v>
      </c>
      <c r="D278" s="47">
        <v>0.06</v>
      </c>
      <c r="E278" s="61">
        <v>0.09</v>
      </c>
      <c r="F278" s="47">
        <v>0.06</v>
      </c>
    </row>
    <row r="279" spans="1:7">
      <c r="A279" t="s">
        <v>852</v>
      </c>
      <c r="C279" s="59">
        <v>123.4</v>
      </c>
      <c r="D279" s="50">
        <v>113.1</v>
      </c>
      <c r="E279" s="59">
        <v>272.89999999999998</v>
      </c>
      <c r="F279" s="50">
        <v>118.5</v>
      </c>
    </row>
    <row r="280" spans="1:7">
      <c r="A280" s="47" t="s">
        <v>853</v>
      </c>
      <c r="B280" s="47"/>
      <c r="C280" s="61">
        <v>352.5</v>
      </c>
      <c r="D280" s="47">
        <v>146.19999999999999</v>
      </c>
      <c r="E280" s="61">
        <v>769.2</v>
      </c>
      <c r="F280" s="47">
        <v>200.4</v>
      </c>
    </row>
    <row r="283" spans="1:7">
      <c r="A283" s="26" t="s">
        <v>860</v>
      </c>
    </row>
    <row r="284" spans="1:7">
      <c r="A284" t="s">
        <v>857</v>
      </c>
      <c r="B284" t="s">
        <v>855</v>
      </c>
      <c r="D284" t="s">
        <v>854</v>
      </c>
    </row>
    <row r="285" spans="1:7">
      <c r="B285" t="s">
        <v>858</v>
      </c>
      <c r="C285" t="s">
        <v>859</v>
      </c>
      <c r="D285" t="s">
        <v>858</v>
      </c>
      <c r="E285" t="s">
        <v>859</v>
      </c>
    </row>
    <row r="286" spans="1:7">
      <c r="A286">
        <v>1996</v>
      </c>
      <c r="B286">
        <v>0.35</v>
      </c>
      <c r="C286">
        <v>89</v>
      </c>
      <c r="D286">
        <v>0.33</v>
      </c>
      <c r="E286">
        <v>140</v>
      </c>
      <c r="G286" t="s">
        <v>861</v>
      </c>
    </row>
    <row r="287" spans="1:7">
      <c r="A287">
        <v>1997</v>
      </c>
      <c r="B287">
        <v>0.87</v>
      </c>
      <c r="C287">
        <v>89</v>
      </c>
      <c r="D287">
        <v>0.79</v>
      </c>
      <c r="E287">
        <v>140</v>
      </c>
    </row>
    <row r="288" spans="1:7">
      <c r="A288">
        <v>1998</v>
      </c>
      <c r="B288">
        <v>1.85</v>
      </c>
      <c r="C288">
        <v>89</v>
      </c>
      <c r="D288">
        <v>1.32</v>
      </c>
      <c r="E288">
        <v>140</v>
      </c>
    </row>
    <row r="289" spans="1:11">
      <c r="C289">
        <v>279.24</v>
      </c>
      <c r="E289">
        <v>157.76</v>
      </c>
      <c r="F289" t="s">
        <v>870</v>
      </c>
    </row>
    <row r="291" spans="1:11">
      <c r="A291" t="s">
        <v>869</v>
      </c>
    </row>
    <row r="293" spans="1:11">
      <c r="A293" s="26" t="s">
        <v>871</v>
      </c>
      <c r="F293" t="s">
        <v>873</v>
      </c>
    </row>
    <row r="295" spans="1:11">
      <c r="A295" s="26" t="s">
        <v>872</v>
      </c>
      <c r="F295" t="s">
        <v>873</v>
      </c>
    </row>
    <row r="298" spans="1:11">
      <c r="A298" s="26" t="s">
        <v>874</v>
      </c>
    </row>
    <row r="299" spans="1:11">
      <c r="B299" t="s">
        <v>313</v>
      </c>
      <c r="C299" t="s">
        <v>314</v>
      </c>
      <c r="D299" t="s">
        <v>315</v>
      </c>
      <c r="E299" t="s">
        <v>598</v>
      </c>
      <c r="F299" t="s">
        <v>316</v>
      </c>
      <c r="G299" t="s">
        <v>329</v>
      </c>
    </row>
    <row r="300" spans="1:11">
      <c r="A300" s="47" t="s">
        <v>875</v>
      </c>
      <c r="B300" s="47" t="s">
        <v>877</v>
      </c>
      <c r="C300" s="47" t="s">
        <v>877</v>
      </c>
      <c r="D300" s="47" t="s">
        <v>877</v>
      </c>
      <c r="E300" s="47" t="s">
        <v>877</v>
      </c>
      <c r="F300" s="47" t="s">
        <v>877</v>
      </c>
      <c r="G300" s="47" t="s">
        <v>877</v>
      </c>
      <c r="H300" s="47"/>
    </row>
    <row r="301" spans="1:11">
      <c r="A301" t="s">
        <v>1436</v>
      </c>
      <c r="B301" t="s">
        <v>878</v>
      </c>
      <c r="C301" t="s">
        <v>879</v>
      </c>
      <c r="D301" t="s">
        <v>880</v>
      </c>
      <c r="F301" t="s">
        <v>881</v>
      </c>
      <c r="G301" t="s">
        <v>882</v>
      </c>
      <c r="H301" t="s">
        <v>883</v>
      </c>
    </row>
    <row r="302" spans="1:11">
      <c r="B302" s="62"/>
      <c r="C302" s="62" t="s">
        <v>884</v>
      </c>
      <c r="H302" t="s">
        <v>885</v>
      </c>
      <c r="K302" s="62" t="s">
        <v>905</v>
      </c>
    </row>
    <row r="303" spans="1:11">
      <c r="B303">
        <v>25</v>
      </c>
      <c r="C303">
        <v>3.3</v>
      </c>
      <c r="D303">
        <v>19</v>
      </c>
      <c r="E303">
        <v>3.1</v>
      </c>
      <c r="F303">
        <v>11.5</v>
      </c>
      <c r="G303">
        <v>2.1</v>
      </c>
      <c r="H303" t="s">
        <v>886</v>
      </c>
    </row>
    <row r="304" spans="1:11">
      <c r="B304" t="s">
        <v>887</v>
      </c>
      <c r="C304" t="s">
        <v>888</v>
      </c>
      <c r="D304" t="s">
        <v>889</v>
      </c>
      <c r="G304" t="s">
        <v>890</v>
      </c>
      <c r="H304" t="s">
        <v>891</v>
      </c>
    </row>
    <row r="305" spans="1:11">
      <c r="B305" t="s">
        <v>892</v>
      </c>
      <c r="C305">
        <v>4</v>
      </c>
      <c r="D305" t="s">
        <v>893</v>
      </c>
      <c r="G305" t="s">
        <v>894</v>
      </c>
      <c r="H305" t="s">
        <v>895</v>
      </c>
    </row>
    <row r="306" spans="1:11">
      <c r="B306" t="s">
        <v>896</v>
      </c>
      <c r="C306" t="s">
        <v>897</v>
      </c>
      <c r="D306" t="s">
        <v>898</v>
      </c>
      <c r="F306" t="s">
        <v>899</v>
      </c>
      <c r="G306" t="s">
        <v>900</v>
      </c>
      <c r="H306" t="s">
        <v>901</v>
      </c>
    </row>
    <row r="307" spans="1:11">
      <c r="A307" s="35"/>
      <c r="B307" s="35" t="s">
        <v>903</v>
      </c>
      <c r="C307" s="35" t="s">
        <v>904</v>
      </c>
      <c r="D307" s="35" t="s">
        <v>906</v>
      </c>
      <c r="E307" s="35">
        <v>3.1</v>
      </c>
      <c r="F307" s="35" t="s">
        <v>907</v>
      </c>
      <c r="G307" s="35" t="s">
        <v>908</v>
      </c>
      <c r="H307" s="35" t="s">
        <v>902</v>
      </c>
    </row>
    <row r="308" spans="1:11">
      <c r="A308" t="s">
        <v>909</v>
      </c>
      <c r="B308">
        <v>24</v>
      </c>
      <c r="C308">
        <v>2.4</v>
      </c>
      <c r="D308">
        <v>8</v>
      </c>
      <c r="E308" s="62"/>
      <c r="F308" s="62"/>
      <c r="H308" s="50" t="s">
        <v>921</v>
      </c>
    </row>
    <row r="309" spans="1:11">
      <c r="B309" t="s">
        <v>910</v>
      </c>
      <c r="C309" t="s">
        <v>915</v>
      </c>
      <c r="E309" s="62"/>
      <c r="F309" s="62"/>
      <c r="H309" s="50" t="s">
        <v>922</v>
      </c>
    </row>
    <row r="310" spans="1:11">
      <c r="B310" t="s">
        <v>911</v>
      </c>
      <c r="E310" s="62"/>
      <c r="F310" s="62"/>
      <c r="G310">
        <v>1.3</v>
      </c>
      <c r="H310" t="s">
        <v>895</v>
      </c>
    </row>
    <row r="311" spans="1:11">
      <c r="B311" t="s">
        <v>912</v>
      </c>
      <c r="C311" t="s">
        <v>914</v>
      </c>
      <c r="D311" s="63" t="s">
        <v>916</v>
      </c>
      <c r="E311" s="62"/>
      <c r="F311" s="62" t="s">
        <v>918</v>
      </c>
      <c r="G311" t="s">
        <v>920</v>
      </c>
      <c r="H311" t="s">
        <v>901</v>
      </c>
    </row>
    <row r="312" spans="1:11">
      <c r="A312" s="35"/>
      <c r="B312" s="35" t="s">
        <v>913</v>
      </c>
      <c r="C312" s="66" t="s">
        <v>923</v>
      </c>
      <c r="D312" s="64" t="s">
        <v>916</v>
      </c>
      <c r="E312" s="65" t="s">
        <v>917</v>
      </c>
      <c r="F312" s="65" t="s">
        <v>919</v>
      </c>
      <c r="G312" s="66" t="s">
        <v>925</v>
      </c>
      <c r="H312" s="35" t="s">
        <v>902</v>
      </c>
      <c r="K312" s="67" t="s">
        <v>924</v>
      </c>
    </row>
    <row r="313" spans="1:11">
      <c r="A313" t="s">
        <v>1434</v>
      </c>
      <c r="B313" s="50" t="s">
        <v>927</v>
      </c>
      <c r="C313" t="s">
        <v>930</v>
      </c>
      <c r="D313" s="63" t="s">
        <v>931</v>
      </c>
      <c r="F313" t="s">
        <v>933</v>
      </c>
      <c r="G313" t="s">
        <v>879</v>
      </c>
      <c r="H313" t="s">
        <v>901</v>
      </c>
    </row>
    <row r="314" spans="1:11">
      <c r="B314" s="50" t="s">
        <v>928</v>
      </c>
      <c r="C314" t="s">
        <v>879</v>
      </c>
      <c r="D314">
        <v>11</v>
      </c>
      <c r="E314">
        <v>2.4</v>
      </c>
      <c r="H314" t="s">
        <v>926</v>
      </c>
    </row>
    <row r="315" spans="1:11">
      <c r="A315" s="35"/>
      <c r="B315" s="35" t="s">
        <v>929</v>
      </c>
      <c r="C315" s="35" t="s">
        <v>930</v>
      </c>
      <c r="D315" s="35" t="s">
        <v>932</v>
      </c>
      <c r="E315" s="35">
        <v>2.4</v>
      </c>
      <c r="F315" s="35" t="s">
        <v>933</v>
      </c>
      <c r="G315" s="35" t="s">
        <v>879</v>
      </c>
      <c r="H315" s="35" t="s">
        <v>902</v>
      </c>
    </row>
    <row r="318" spans="1:11">
      <c r="A318" s="26" t="s">
        <v>934</v>
      </c>
    </row>
    <row r="320" spans="1:11">
      <c r="A320" s="35"/>
      <c r="B320" s="35" t="s">
        <v>313</v>
      </c>
      <c r="C320" s="35" t="s">
        <v>314</v>
      </c>
      <c r="D320" s="35" t="s">
        <v>315</v>
      </c>
      <c r="E320" s="35" t="s">
        <v>598</v>
      </c>
      <c r="F320" s="35" t="s">
        <v>316</v>
      </c>
      <c r="G320" s="35" t="s">
        <v>329</v>
      </c>
      <c r="H320" s="35" t="s">
        <v>643</v>
      </c>
      <c r="I320" s="35" t="s">
        <v>642</v>
      </c>
      <c r="J320" s="35" t="s">
        <v>936</v>
      </c>
    </row>
    <row r="321" spans="1:11">
      <c r="A321" t="s">
        <v>935</v>
      </c>
      <c r="B321">
        <v>100</v>
      </c>
      <c r="C321">
        <v>14</v>
      </c>
      <c r="D321">
        <v>70</v>
      </c>
      <c r="F321">
        <v>7</v>
      </c>
      <c r="G321">
        <v>7</v>
      </c>
      <c r="J321" t="s">
        <v>942</v>
      </c>
    </row>
    <row r="322" spans="1:11">
      <c r="B322">
        <v>100</v>
      </c>
      <c r="C322">
        <v>11</v>
      </c>
      <c r="D322">
        <v>48</v>
      </c>
      <c r="F322">
        <v>7</v>
      </c>
      <c r="G322">
        <v>7</v>
      </c>
      <c r="J322" t="s">
        <v>941</v>
      </c>
    </row>
    <row r="323" spans="1:11">
      <c r="B323">
        <v>100</v>
      </c>
      <c r="C323">
        <v>13</v>
      </c>
      <c r="D323">
        <v>65</v>
      </c>
      <c r="E323">
        <v>9</v>
      </c>
      <c r="F323">
        <v>62</v>
      </c>
      <c r="G323">
        <v>42</v>
      </c>
      <c r="H323">
        <v>0.7</v>
      </c>
      <c r="I323">
        <v>0.4</v>
      </c>
      <c r="J323" t="s">
        <v>943</v>
      </c>
    </row>
    <row r="324" spans="1:11">
      <c r="B324">
        <v>100</v>
      </c>
      <c r="C324">
        <v>18</v>
      </c>
      <c r="D324">
        <v>65</v>
      </c>
      <c r="F324">
        <v>35</v>
      </c>
      <c r="G324">
        <v>10</v>
      </c>
      <c r="J324" t="s">
        <v>944</v>
      </c>
    </row>
    <row r="325" spans="1:11">
      <c r="A325" s="35"/>
      <c r="B325" s="35">
        <v>100</v>
      </c>
      <c r="C325" s="68" t="s">
        <v>945</v>
      </c>
      <c r="D325" s="35" t="s">
        <v>938</v>
      </c>
      <c r="E325" s="68" t="s">
        <v>947</v>
      </c>
      <c r="F325" s="66" t="s">
        <v>948</v>
      </c>
      <c r="G325" s="66" t="s">
        <v>949</v>
      </c>
      <c r="H325" s="66"/>
      <c r="I325" s="35" t="s">
        <v>950</v>
      </c>
      <c r="J325" s="35" t="s">
        <v>902</v>
      </c>
    </row>
    <row r="326" spans="1:11" ht="13.5" thickBot="1">
      <c r="A326" s="69"/>
      <c r="B326" s="69"/>
      <c r="C326" s="69" t="s">
        <v>937</v>
      </c>
      <c r="D326" s="69"/>
      <c r="E326" s="69">
        <v>9</v>
      </c>
      <c r="F326" s="69" t="s">
        <v>939</v>
      </c>
      <c r="G326" s="69" t="s">
        <v>940</v>
      </c>
      <c r="H326" s="69">
        <v>0.7</v>
      </c>
      <c r="I326" s="69">
        <v>0.4</v>
      </c>
      <c r="J326" s="70" t="s">
        <v>946</v>
      </c>
      <c r="K326" s="69"/>
    </row>
    <row r="327" spans="1:11">
      <c r="A327" t="s">
        <v>951</v>
      </c>
      <c r="B327">
        <v>100</v>
      </c>
      <c r="C327" s="50">
        <v>16</v>
      </c>
      <c r="D327" s="50">
        <v>45</v>
      </c>
      <c r="E327" s="50">
        <v>15</v>
      </c>
      <c r="F327" s="50">
        <v>11</v>
      </c>
      <c r="G327" s="50">
        <v>11</v>
      </c>
      <c r="J327" t="s">
        <v>941</v>
      </c>
    </row>
    <row r="328" spans="1:11">
      <c r="A328" s="35"/>
      <c r="B328" s="35">
        <v>100</v>
      </c>
      <c r="C328" s="35" t="s">
        <v>952</v>
      </c>
      <c r="D328" s="35" t="s">
        <v>953</v>
      </c>
      <c r="E328" s="35" t="s">
        <v>954</v>
      </c>
      <c r="F328" s="35" t="s">
        <v>955</v>
      </c>
      <c r="G328" s="35" t="s">
        <v>940</v>
      </c>
      <c r="H328" s="66">
        <v>0.7</v>
      </c>
      <c r="I328" s="66">
        <v>0.4</v>
      </c>
      <c r="J328" s="35" t="s">
        <v>902</v>
      </c>
    </row>
    <row r="331" spans="1:11">
      <c r="A331" s="26" t="s">
        <v>956</v>
      </c>
    </row>
    <row r="333" spans="1:11">
      <c r="A333" s="35" t="s">
        <v>957</v>
      </c>
      <c r="B333" s="35" t="s">
        <v>601</v>
      </c>
      <c r="C333" s="35" t="s">
        <v>602</v>
      </c>
      <c r="D333" s="35" t="s">
        <v>603</v>
      </c>
      <c r="E333" s="35" t="s">
        <v>604</v>
      </c>
      <c r="F333" s="35" t="s">
        <v>605</v>
      </c>
      <c r="G333" s="35" t="s">
        <v>606</v>
      </c>
      <c r="H333" s="35" t="s">
        <v>607</v>
      </c>
      <c r="I333" s="35" t="s">
        <v>608</v>
      </c>
    </row>
    <row r="334" spans="1:11">
      <c r="A334" t="s">
        <v>935</v>
      </c>
      <c r="B334" t="s">
        <v>958</v>
      </c>
      <c r="C334" t="s">
        <v>961</v>
      </c>
      <c r="D334" t="s">
        <v>962</v>
      </c>
      <c r="E334" t="s">
        <v>1075</v>
      </c>
      <c r="F334" t="s">
        <v>1077</v>
      </c>
      <c r="G334" t="s">
        <v>1080</v>
      </c>
      <c r="H334" t="s">
        <v>1081</v>
      </c>
      <c r="I334">
        <v>5.5</v>
      </c>
    </row>
    <row r="335" spans="1:11">
      <c r="A335" t="s">
        <v>951</v>
      </c>
      <c r="B335" t="s">
        <v>959</v>
      </c>
      <c r="C335" t="s">
        <v>960</v>
      </c>
      <c r="D335" t="s">
        <v>1074</v>
      </c>
      <c r="E335" t="s">
        <v>1076</v>
      </c>
      <c r="F335" t="s">
        <v>1078</v>
      </c>
      <c r="G335" t="s">
        <v>1079</v>
      </c>
      <c r="H335" t="s">
        <v>1082</v>
      </c>
      <c r="I335">
        <v>1.4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22" workbookViewId="0">
      <selection activeCell="J6" sqref="J6:K8"/>
    </sheetView>
  </sheetViews>
  <sheetFormatPr baseColWidth="10" defaultRowHeight="12.75"/>
  <cols>
    <col min="2" max="2" width="11.42578125" style="55"/>
    <col min="3" max="3" width="14.85546875" customWidth="1"/>
    <col min="6" max="6" width="15.42578125" customWidth="1"/>
  </cols>
  <sheetData>
    <row r="1" spans="1:7">
      <c r="A1" t="s">
        <v>694</v>
      </c>
      <c r="B1" s="55" t="s">
        <v>695</v>
      </c>
      <c r="C1" t="s">
        <v>696</v>
      </c>
      <c r="D1" t="s">
        <v>697</v>
      </c>
      <c r="E1" t="s">
        <v>698</v>
      </c>
      <c r="F1" t="s">
        <v>699</v>
      </c>
      <c r="G1" t="s">
        <v>700</v>
      </c>
    </row>
    <row r="2" spans="1:7">
      <c r="A2">
        <v>1</v>
      </c>
      <c r="B2" s="55">
        <v>33</v>
      </c>
      <c r="C2">
        <v>23.25</v>
      </c>
      <c r="D2">
        <v>0.18</v>
      </c>
      <c r="E2">
        <f t="shared" ref="E2:E17" si="0">C2+D2</f>
        <v>23.43</v>
      </c>
      <c r="F2">
        <v>4</v>
      </c>
      <c r="G2">
        <v>3.3016883722963613</v>
      </c>
    </row>
    <row r="3" spans="1:7">
      <c r="A3">
        <v>2</v>
      </c>
      <c r="B3" s="55">
        <v>26.15</v>
      </c>
      <c r="C3">
        <v>23.95</v>
      </c>
      <c r="D3">
        <v>0.2</v>
      </c>
      <c r="E3">
        <f t="shared" si="0"/>
        <v>24.15</v>
      </c>
      <c r="F3">
        <v>4</v>
      </c>
      <c r="G3">
        <v>2.1180799882876293</v>
      </c>
    </row>
    <row r="4" spans="1:7">
      <c r="A4">
        <v>3</v>
      </c>
      <c r="B4" s="55">
        <v>31.3</v>
      </c>
      <c r="C4">
        <v>23.3</v>
      </c>
      <c r="D4">
        <v>0.21</v>
      </c>
      <c r="E4">
        <f t="shared" si="0"/>
        <v>23.51</v>
      </c>
      <c r="F4">
        <v>4</v>
      </c>
      <c r="G4">
        <v>2.6099882097922289</v>
      </c>
    </row>
    <row r="5" spans="1:7">
      <c r="A5">
        <v>4</v>
      </c>
      <c r="B5" s="55">
        <v>26</v>
      </c>
      <c r="C5">
        <v>24.15</v>
      </c>
      <c r="D5">
        <v>0.12</v>
      </c>
      <c r="E5">
        <f t="shared" si="0"/>
        <v>24.27</v>
      </c>
      <c r="F5">
        <v>4</v>
      </c>
      <c r="G5">
        <v>2.0158092093611981</v>
      </c>
    </row>
    <row r="6" spans="1:7">
      <c r="A6">
        <v>5</v>
      </c>
      <c r="B6" s="55">
        <v>25.8</v>
      </c>
      <c r="C6">
        <v>23</v>
      </c>
      <c r="D6">
        <v>0.13</v>
      </c>
      <c r="E6">
        <f t="shared" si="0"/>
        <v>23.13</v>
      </c>
      <c r="F6">
        <v>4</v>
      </c>
      <c r="G6">
        <v>2.1067564631429567</v>
      </c>
    </row>
    <row r="7" spans="1:7">
      <c r="A7">
        <v>6</v>
      </c>
      <c r="B7" s="55">
        <v>24.2</v>
      </c>
      <c r="C7">
        <v>23.75</v>
      </c>
      <c r="D7">
        <v>0.16</v>
      </c>
      <c r="E7">
        <f t="shared" si="0"/>
        <v>23.91</v>
      </c>
      <c r="F7">
        <v>4</v>
      </c>
      <c r="G7">
        <v>1.8899570076583911</v>
      </c>
    </row>
    <row r="8" spans="1:7">
      <c r="A8">
        <v>7</v>
      </c>
      <c r="B8" s="55">
        <v>13.2</v>
      </c>
      <c r="C8">
        <v>19.7</v>
      </c>
      <c r="D8">
        <v>0.17</v>
      </c>
      <c r="E8">
        <f t="shared" si="0"/>
        <v>19.87</v>
      </c>
      <c r="F8">
        <v>2</v>
      </c>
      <c r="G8">
        <v>0.35930332347253391</v>
      </c>
    </row>
    <row r="9" spans="1:7">
      <c r="A9">
        <v>8</v>
      </c>
      <c r="B9" s="55">
        <v>27</v>
      </c>
      <c r="C9">
        <v>24.12</v>
      </c>
      <c r="D9">
        <v>0.12</v>
      </c>
      <c r="E9">
        <f t="shared" si="0"/>
        <v>24.240000000000002</v>
      </c>
      <c r="F9">
        <v>3</v>
      </c>
      <c r="G9">
        <v>2.3309876073770019</v>
      </c>
    </row>
    <row r="10" spans="1:7">
      <c r="A10">
        <v>9</v>
      </c>
      <c r="B10" s="55">
        <v>22.9</v>
      </c>
      <c r="C10">
        <v>22.8</v>
      </c>
      <c r="D10">
        <v>0.20499999999999999</v>
      </c>
      <c r="E10">
        <f t="shared" si="0"/>
        <v>23.004999999999999</v>
      </c>
      <c r="F10">
        <v>3</v>
      </c>
      <c r="G10">
        <v>1.5753327865866804</v>
      </c>
    </row>
    <row r="11" spans="1:7">
      <c r="A11">
        <v>10</v>
      </c>
      <c r="B11" s="55">
        <v>30</v>
      </c>
      <c r="C11">
        <v>21.8</v>
      </c>
      <c r="D11">
        <v>0.16</v>
      </c>
      <c r="E11">
        <f t="shared" si="0"/>
        <v>21.96</v>
      </c>
      <c r="F11">
        <v>3</v>
      </c>
      <c r="G11">
        <v>2.5936728195847092</v>
      </c>
    </row>
    <row r="12" spans="1:7">
      <c r="A12">
        <v>11</v>
      </c>
      <c r="B12" s="55">
        <v>29.6</v>
      </c>
      <c r="C12">
        <v>20.7</v>
      </c>
      <c r="D12">
        <v>0.22</v>
      </c>
      <c r="E12">
        <f t="shared" si="0"/>
        <v>20.919999999999998</v>
      </c>
      <c r="F12">
        <v>3</v>
      </c>
      <c r="G12">
        <v>1.7195155531046531</v>
      </c>
    </row>
    <row r="13" spans="1:7">
      <c r="A13">
        <v>12</v>
      </c>
      <c r="B13" s="55">
        <v>14.6</v>
      </c>
      <c r="C13">
        <v>15.6</v>
      </c>
      <c r="D13">
        <v>0.26500000000000001</v>
      </c>
      <c r="E13">
        <f t="shared" si="0"/>
        <v>15.865</v>
      </c>
      <c r="F13">
        <v>2</v>
      </c>
      <c r="G13">
        <v>0.40427773558279473</v>
      </c>
    </row>
    <row r="14" spans="1:7">
      <c r="A14">
        <v>13</v>
      </c>
      <c r="B14" s="55">
        <v>30.3</v>
      </c>
      <c r="C14">
        <v>22.6</v>
      </c>
      <c r="D14">
        <v>0.19</v>
      </c>
      <c r="E14">
        <f t="shared" si="0"/>
        <v>22.790000000000003</v>
      </c>
      <c r="F14">
        <v>3</v>
      </c>
      <c r="G14">
        <v>2.1994918486312858</v>
      </c>
    </row>
    <row r="15" spans="1:7">
      <c r="A15">
        <v>14</v>
      </c>
      <c r="B15" s="55">
        <v>30.1</v>
      </c>
      <c r="C15">
        <v>24.5</v>
      </c>
      <c r="D15">
        <v>0.2</v>
      </c>
      <c r="E15">
        <f t="shared" si="0"/>
        <v>24.7</v>
      </c>
      <c r="F15">
        <v>3</v>
      </c>
      <c r="G15">
        <v>2.5826260373368908</v>
      </c>
    </row>
    <row r="16" spans="1:7">
      <c r="A16">
        <v>15</v>
      </c>
      <c r="B16" s="55">
        <v>25.5</v>
      </c>
      <c r="C16">
        <v>22.25</v>
      </c>
      <c r="D16">
        <v>0.3</v>
      </c>
      <c r="E16">
        <f t="shared" si="0"/>
        <v>22.55</v>
      </c>
      <c r="F16">
        <v>3</v>
      </c>
      <c r="G16">
        <v>1.7644209758402412</v>
      </c>
    </row>
    <row r="17" spans="1:7">
      <c r="A17">
        <v>16</v>
      </c>
      <c r="B17" s="55">
        <v>29.6</v>
      </c>
      <c r="C17">
        <v>23.6</v>
      </c>
      <c r="D17">
        <v>0.2</v>
      </c>
      <c r="E17">
        <f t="shared" si="0"/>
        <v>23.8</v>
      </c>
      <c r="F17">
        <v>4</v>
      </c>
      <c r="G17">
        <v>2.5425129256987948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6"/>
  <sheetViews>
    <sheetView topLeftCell="A3" workbookViewId="0">
      <selection sqref="A1:IV65536"/>
    </sheetView>
  </sheetViews>
  <sheetFormatPr baseColWidth="10" defaultRowHeight="12.75"/>
  <sheetData>
    <row r="1" spans="1:1">
      <c r="A1" t="s">
        <v>707</v>
      </c>
    </row>
    <row r="3" spans="1:1">
      <c r="A3" s="26" t="s">
        <v>719</v>
      </c>
    </row>
    <row r="4" spans="1:1">
      <c r="A4" t="s">
        <v>720</v>
      </c>
    </row>
    <row r="5" spans="1:1">
      <c r="A5" t="s">
        <v>721</v>
      </c>
    </row>
    <row r="7" spans="1:1">
      <c r="A7" s="26" t="s">
        <v>740</v>
      </c>
    </row>
    <row r="8" spans="1:1">
      <c r="A8" s="26" t="s">
        <v>741</v>
      </c>
    </row>
    <row r="10" spans="1:1">
      <c r="A10" s="26" t="s">
        <v>765</v>
      </c>
    </row>
    <row r="11" spans="1:1">
      <c r="A11" t="s">
        <v>766</v>
      </c>
    </row>
    <row r="12" spans="1:1">
      <c r="A12" s="40" t="s">
        <v>773</v>
      </c>
    </row>
    <row r="16" spans="1:1">
      <c r="A16" s="26" t="s">
        <v>722</v>
      </c>
    </row>
    <row r="17" spans="1:20">
      <c r="A17" s="26" t="s">
        <v>728</v>
      </c>
      <c r="C17" t="s">
        <v>733</v>
      </c>
      <c r="D17" t="s">
        <v>729</v>
      </c>
      <c r="E17" t="s">
        <v>734</v>
      </c>
      <c r="F17" t="s">
        <v>730</v>
      </c>
      <c r="G17" t="s">
        <v>735</v>
      </c>
      <c r="H17" t="s">
        <v>731</v>
      </c>
      <c r="I17" t="s">
        <v>736</v>
      </c>
      <c r="J17" t="s">
        <v>732</v>
      </c>
      <c r="M17" t="s">
        <v>733</v>
      </c>
      <c r="N17" t="s">
        <v>729</v>
      </c>
      <c r="O17" t="s">
        <v>734</v>
      </c>
      <c r="P17" t="s">
        <v>730</v>
      </c>
      <c r="Q17" t="s">
        <v>735</v>
      </c>
      <c r="R17" t="s">
        <v>731</v>
      </c>
      <c r="S17" t="s">
        <v>736</v>
      </c>
      <c r="T17" t="s">
        <v>732</v>
      </c>
    </row>
    <row r="18" spans="1:20">
      <c r="A18" t="s">
        <v>723</v>
      </c>
      <c r="B18" t="s">
        <v>725</v>
      </c>
      <c r="C18">
        <v>6.1</v>
      </c>
      <c r="D18">
        <v>6.1</v>
      </c>
      <c r="E18">
        <f>F18-D18</f>
        <v>1.7000000000000002</v>
      </c>
      <c r="F18">
        <v>7.8</v>
      </c>
      <c r="G18">
        <f>H18-F18</f>
        <v>2.7</v>
      </c>
      <c r="H18">
        <v>10.5</v>
      </c>
      <c r="I18">
        <f>J18-H18</f>
        <v>5.5</v>
      </c>
      <c r="J18">
        <v>16</v>
      </c>
      <c r="K18" t="s">
        <v>727</v>
      </c>
      <c r="M18" s="55">
        <f>C18/64*50</f>
        <v>4.765625</v>
      </c>
      <c r="N18" s="55">
        <f t="shared" ref="N18:T21" si="0">D18/64*50</f>
        <v>4.765625</v>
      </c>
      <c r="O18" s="55">
        <f t="shared" si="0"/>
        <v>1.3281250000000002</v>
      </c>
      <c r="P18" s="55">
        <f t="shared" si="0"/>
        <v>6.09375</v>
      </c>
      <c r="Q18" s="55">
        <f t="shared" si="0"/>
        <v>2.109375</v>
      </c>
      <c r="R18" s="55">
        <f t="shared" si="0"/>
        <v>8.203125</v>
      </c>
      <c r="S18" s="55">
        <f t="shared" si="0"/>
        <v>4.296875</v>
      </c>
      <c r="T18" s="55">
        <f t="shared" si="0"/>
        <v>12.5</v>
      </c>
    </row>
    <row r="19" spans="1:20">
      <c r="B19" t="s">
        <v>726</v>
      </c>
      <c r="C19">
        <v>5.9</v>
      </c>
      <c r="D19">
        <v>5.9</v>
      </c>
      <c r="E19">
        <f>F19-D19</f>
        <v>12.999999999999998</v>
      </c>
      <c r="F19">
        <v>18.899999999999999</v>
      </c>
      <c r="G19">
        <f>H19-F19</f>
        <v>12</v>
      </c>
      <c r="H19">
        <v>30.9</v>
      </c>
      <c r="I19">
        <f>J19-H19</f>
        <v>5.8999999999999986</v>
      </c>
      <c r="J19">
        <v>36.799999999999997</v>
      </c>
      <c r="M19" s="55">
        <f>C19/64*50</f>
        <v>4.609375</v>
      </c>
      <c r="N19" s="55">
        <f t="shared" si="0"/>
        <v>4.609375</v>
      </c>
      <c r="O19" s="55">
        <f t="shared" si="0"/>
        <v>10.156249999999998</v>
      </c>
      <c r="P19" s="55">
        <f t="shared" si="0"/>
        <v>14.765624999999998</v>
      </c>
      <c r="Q19" s="55">
        <f t="shared" si="0"/>
        <v>9.375</v>
      </c>
      <c r="R19" s="55">
        <f t="shared" si="0"/>
        <v>24.140625</v>
      </c>
      <c r="S19" s="55">
        <f t="shared" si="0"/>
        <v>4.6093749999999991</v>
      </c>
      <c r="T19" s="55">
        <f t="shared" si="0"/>
        <v>28.749999999999996</v>
      </c>
    </row>
    <row r="20" spans="1:20">
      <c r="A20" t="s">
        <v>724</v>
      </c>
      <c r="B20" t="s">
        <v>725</v>
      </c>
      <c r="C20">
        <v>12.8</v>
      </c>
      <c r="D20">
        <v>12.8</v>
      </c>
      <c r="E20">
        <f>F20-D20</f>
        <v>11.099999999999998</v>
      </c>
      <c r="F20">
        <v>23.9</v>
      </c>
      <c r="G20">
        <f>H20-F20</f>
        <v>8.1000000000000014</v>
      </c>
      <c r="H20">
        <v>32</v>
      </c>
      <c r="I20">
        <f>J20-H20</f>
        <v>15</v>
      </c>
      <c r="J20">
        <v>47</v>
      </c>
      <c r="M20" s="55">
        <f>C20/64*50</f>
        <v>10</v>
      </c>
      <c r="N20" s="55">
        <f t="shared" si="0"/>
        <v>10</v>
      </c>
      <c r="O20" s="55">
        <f t="shared" si="0"/>
        <v>8.6718749999999982</v>
      </c>
      <c r="P20" s="55">
        <f t="shared" si="0"/>
        <v>18.671875</v>
      </c>
      <c r="Q20" s="55">
        <f t="shared" si="0"/>
        <v>6.3281250000000009</v>
      </c>
      <c r="R20" s="55">
        <f t="shared" si="0"/>
        <v>25</v>
      </c>
      <c r="S20" s="55">
        <f t="shared" si="0"/>
        <v>11.71875</v>
      </c>
      <c r="T20" s="55">
        <f t="shared" si="0"/>
        <v>36.71875</v>
      </c>
    </row>
    <row r="21" spans="1:20">
      <c r="B21" t="s">
        <v>726</v>
      </c>
      <c r="C21">
        <v>9</v>
      </c>
      <c r="D21">
        <v>9</v>
      </c>
      <c r="E21">
        <f>F21-D21</f>
        <v>14.7</v>
      </c>
      <c r="F21">
        <v>23.7</v>
      </c>
      <c r="G21">
        <f>H21-F21</f>
        <v>16.7</v>
      </c>
      <c r="H21">
        <v>40.4</v>
      </c>
      <c r="I21">
        <f>J21-H21</f>
        <v>11.700000000000003</v>
      </c>
      <c r="J21">
        <v>52.1</v>
      </c>
      <c r="M21" s="55">
        <f>C21/64*50</f>
        <v>7.03125</v>
      </c>
      <c r="N21" s="55">
        <f t="shared" si="0"/>
        <v>7.03125</v>
      </c>
      <c r="O21" s="55">
        <f t="shared" si="0"/>
        <v>11.484375</v>
      </c>
      <c r="P21" s="55">
        <f t="shared" si="0"/>
        <v>18.515625</v>
      </c>
      <c r="Q21" s="55">
        <f t="shared" si="0"/>
        <v>13.046875</v>
      </c>
      <c r="R21" s="55">
        <f t="shared" si="0"/>
        <v>31.5625</v>
      </c>
      <c r="S21" s="55">
        <f t="shared" si="0"/>
        <v>9.1406250000000018</v>
      </c>
      <c r="T21" s="55">
        <f t="shared" si="0"/>
        <v>40.703125</v>
      </c>
    </row>
    <row r="24" spans="1:20">
      <c r="A24" s="26" t="s">
        <v>737</v>
      </c>
    </row>
    <row r="25" spans="1:20">
      <c r="B25" t="s">
        <v>738</v>
      </c>
      <c r="C25" t="s">
        <v>726</v>
      </c>
    </row>
    <row r="26" spans="1:20">
      <c r="A26" t="s">
        <v>723</v>
      </c>
      <c r="B26">
        <v>7.8</v>
      </c>
      <c r="C26">
        <v>2</v>
      </c>
    </row>
    <row r="27" spans="1:20">
      <c r="A27" t="s">
        <v>724</v>
      </c>
      <c r="B27">
        <v>4</v>
      </c>
      <c r="C27">
        <v>6.8</v>
      </c>
    </row>
    <row r="28" spans="1:20">
      <c r="A28" t="s">
        <v>739</v>
      </c>
      <c r="B28">
        <v>5.0999999999999996</v>
      </c>
      <c r="C28">
        <v>8.6999999999999993</v>
      </c>
    </row>
    <row r="31" spans="1:20">
      <c r="A31" s="26" t="s">
        <v>747</v>
      </c>
    </row>
    <row r="32" spans="1:20">
      <c r="A32" s="26" t="s">
        <v>728</v>
      </c>
      <c r="C32" t="s">
        <v>733</v>
      </c>
      <c r="D32" t="s">
        <v>729</v>
      </c>
      <c r="E32" t="s">
        <v>734</v>
      </c>
      <c r="F32" t="s">
        <v>730</v>
      </c>
      <c r="G32" t="s">
        <v>735</v>
      </c>
      <c r="H32" t="s">
        <v>731</v>
      </c>
      <c r="I32" t="s">
        <v>736</v>
      </c>
      <c r="J32" t="s">
        <v>732</v>
      </c>
      <c r="L32" s="26" t="s">
        <v>745</v>
      </c>
      <c r="M32" t="s">
        <v>733</v>
      </c>
      <c r="N32" t="s">
        <v>729</v>
      </c>
      <c r="O32" t="s">
        <v>734</v>
      </c>
      <c r="P32" t="s">
        <v>730</v>
      </c>
      <c r="Q32" t="s">
        <v>735</v>
      </c>
      <c r="R32" t="s">
        <v>731</v>
      </c>
      <c r="S32" t="s">
        <v>736</v>
      </c>
      <c r="T32" t="s">
        <v>732</v>
      </c>
    </row>
    <row r="33" spans="1:20">
      <c r="A33" t="s">
        <v>742</v>
      </c>
      <c r="B33" t="s">
        <v>738</v>
      </c>
      <c r="C33">
        <v>10.199999999999999</v>
      </c>
      <c r="D33">
        <v>10.199999999999999</v>
      </c>
      <c r="E33">
        <f>F33-D33</f>
        <v>11.900000000000002</v>
      </c>
      <c r="F33">
        <v>22.1</v>
      </c>
      <c r="G33">
        <f>H33-F33</f>
        <v>7.3999999999999986</v>
      </c>
      <c r="H33">
        <v>29.5</v>
      </c>
      <c r="I33">
        <f>J33-H33</f>
        <v>3.7000000000000028</v>
      </c>
      <c r="J33">
        <v>33.200000000000003</v>
      </c>
      <c r="K33" t="s">
        <v>744</v>
      </c>
      <c r="M33" s="55">
        <f>C33/40.5*800</f>
        <v>201.48148148148147</v>
      </c>
      <c r="N33" s="55">
        <f t="shared" ref="N33:T35" si="1">D33/40.5*800</f>
        <v>201.48148148148147</v>
      </c>
      <c r="O33" s="55">
        <f t="shared" si="1"/>
        <v>235.06172839506178</v>
      </c>
      <c r="P33" s="55">
        <f t="shared" si="1"/>
        <v>436.54320987654324</v>
      </c>
      <c r="Q33" s="55">
        <f t="shared" si="1"/>
        <v>146.17283950617281</v>
      </c>
      <c r="R33" s="55">
        <f t="shared" si="1"/>
        <v>582.71604938271605</v>
      </c>
      <c r="S33" s="55">
        <f t="shared" si="1"/>
        <v>73.086419753086474</v>
      </c>
      <c r="T33" s="55">
        <f t="shared" si="1"/>
        <v>655.80246913580254</v>
      </c>
    </row>
    <row r="34" spans="1:20">
      <c r="B34" t="s">
        <v>726</v>
      </c>
      <c r="C34">
        <v>7.5</v>
      </c>
      <c r="D34">
        <v>7.5</v>
      </c>
      <c r="E34">
        <f>F34-D34</f>
        <v>6.9</v>
      </c>
      <c r="F34">
        <v>14.4</v>
      </c>
      <c r="G34">
        <f>H34-F34</f>
        <v>2.4000000000000004</v>
      </c>
      <c r="H34">
        <v>16.8</v>
      </c>
      <c r="I34">
        <f>J34-H34</f>
        <v>6.1999999999999993</v>
      </c>
      <c r="J34">
        <v>23</v>
      </c>
      <c r="M34" s="55">
        <f>C34/40.5*800</f>
        <v>148.14814814814815</v>
      </c>
      <c r="N34" s="55">
        <f t="shared" si="1"/>
        <v>148.14814814814815</v>
      </c>
      <c r="O34" s="55">
        <f t="shared" si="1"/>
        <v>136.2962962962963</v>
      </c>
      <c r="P34" s="55">
        <f t="shared" si="1"/>
        <v>284.44444444444446</v>
      </c>
      <c r="Q34" s="55">
        <f t="shared" si="1"/>
        <v>47.407407407407412</v>
      </c>
      <c r="R34" s="55">
        <f t="shared" si="1"/>
        <v>331.8518518518519</v>
      </c>
      <c r="S34" s="55">
        <f t="shared" si="1"/>
        <v>122.46913580246913</v>
      </c>
      <c r="T34" s="55">
        <f t="shared" si="1"/>
        <v>454.32098765432096</v>
      </c>
    </row>
    <row r="35" spans="1:20">
      <c r="B35" t="s">
        <v>743</v>
      </c>
      <c r="C35">
        <v>8</v>
      </c>
      <c r="D35">
        <v>8</v>
      </c>
      <c r="E35">
        <f>F35-D35</f>
        <v>3.1999999999999993</v>
      </c>
      <c r="F35">
        <v>11.2</v>
      </c>
      <c r="G35">
        <f>H35-F35</f>
        <v>2.9000000000000004</v>
      </c>
      <c r="H35">
        <v>14.1</v>
      </c>
      <c r="I35">
        <f>J35-H35</f>
        <v>8.7000000000000011</v>
      </c>
      <c r="J35">
        <v>22.8</v>
      </c>
      <c r="M35" s="55">
        <f>C35/40.5*800</f>
        <v>158.02469135802468</v>
      </c>
      <c r="N35" s="55">
        <f t="shared" si="1"/>
        <v>158.02469135802468</v>
      </c>
      <c r="O35" s="55">
        <f t="shared" si="1"/>
        <v>63.209876543209866</v>
      </c>
      <c r="P35" s="55">
        <f t="shared" si="1"/>
        <v>221.23456790123456</v>
      </c>
      <c r="Q35" s="55">
        <f t="shared" si="1"/>
        <v>57.283950617283963</v>
      </c>
      <c r="R35" s="55">
        <f t="shared" si="1"/>
        <v>278.51851851851853</v>
      </c>
      <c r="S35" s="55">
        <f t="shared" si="1"/>
        <v>171.85185185185188</v>
      </c>
      <c r="T35" s="55">
        <f t="shared" si="1"/>
        <v>450.37037037037038</v>
      </c>
    </row>
    <row r="38" spans="1:20">
      <c r="A38" s="26" t="s">
        <v>746</v>
      </c>
    </row>
    <row r="39" spans="1:20">
      <c r="A39" s="26" t="s">
        <v>728</v>
      </c>
      <c r="C39" t="s">
        <v>733</v>
      </c>
      <c r="D39" t="s">
        <v>729</v>
      </c>
      <c r="E39" t="s">
        <v>734</v>
      </c>
      <c r="F39" t="s">
        <v>730</v>
      </c>
      <c r="G39" t="s">
        <v>735</v>
      </c>
      <c r="H39" t="s">
        <v>731</v>
      </c>
      <c r="I39" t="s">
        <v>736</v>
      </c>
      <c r="J39" t="s">
        <v>732</v>
      </c>
      <c r="L39" s="26" t="s">
        <v>748</v>
      </c>
      <c r="M39" t="s">
        <v>733</v>
      </c>
      <c r="N39" t="s">
        <v>729</v>
      </c>
      <c r="O39" t="s">
        <v>734</v>
      </c>
      <c r="P39" t="s">
        <v>730</v>
      </c>
      <c r="Q39" t="s">
        <v>735</v>
      </c>
      <c r="R39" t="s">
        <v>731</v>
      </c>
      <c r="S39" t="s">
        <v>736</v>
      </c>
      <c r="T39" t="s">
        <v>732</v>
      </c>
    </row>
    <row r="40" spans="1:20">
      <c r="A40" t="s">
        <v>742</v>
      </c>
      <c r="B40" t="s">
        <v>738</v>
      </c>
      <c r="C40">
        <v>22</v>
      </c>
      <c r="D40">
        <v>22</v>
      </c>
      <c r="E40">
        <f>F40-D40</f>
        <v>26.9</v>
      </c>
      <c r="F40">
        <v>48.9</v>
      </c>
      <c r="G40">
        <f>H40-F40</f>
        <v>16.800000000000004</v>
      </c>
      <c r="H40">
        <v>65.7</v>
      </c>
      <c r="I40">
        <f>J40-H40</f>
        <v>15.299999999999997</v>
      </c>
      <c r="J40">
        <v>81</v>
      </c>
      <c r="K40" t="s">
        <v>749</v>
      </c>
      <c r="M40" s="55">
        <f>C40/84.5*50</f>
        <v>13.017751479289942</v>
      </c>
      <c r="N40" s="55">
        <f t="shared" ref="N40:T42" si="2">D40/84.5*50</f>
        <v>13.017751479289942</v>
      </c>
      <c r="O40" s="55">
        <f t="shared" si="2"/>
        <v>15.917159763313609</v>
      </c>
      <c r="P40" s="55">
        <f t="shared" si="2"/>
        <v>28.934911242603551</v>
      </c>
      <c r="Q40" s="55">
        <f t="shared" si="2"/>
        <v>9.9408284023668667</v>
      </c>
      <c r="R40" s="55">
        <f t="shared" si="2"/>
        <v>38.875739644970416</v>
      </c>
      <c r="S40" s="55">
        <f t="shared" si="2"/>
        <v>9.0532544378698212</v>
      </c>
      <c r="T40" s="55">
        <f t="shared" si="2"/>
        <v>47.928994082840234</v>
      </c>
    </row>
    <row r="41" spans="1:20">
      <c r="B41" t="s">
        <v>726</v>
      </c>
      <c r="C41">
        <v>11.8</v>
      </c>
      <c r="D41">
        <v>11.8</v>
      </c>
      <c r="E41">
        <f t="shared" ref="E41:G42" si="3">F41-D41</f>
        <v>10.399999999999999</v>
      </c>
      <c r="F41">
        <v>22.2</v>
      </c>
      <c r="G41">
        <f t="shared" si="3"/>
        <v>4.9000000000000021</v>
      </c>
      <c r="H41">
        <v>27.1</v>
      </c>
      <c r="I41">
        <f>J41-H41</f>
        <v>8.5</v>
      </c>
      <c r="J41">
        <v>35.6</v>
      </c>
      <c r="M41" s="55">
        <f>C41/84.5*50</f>
        <v>6.9822485207100593</v>
      </c>
      <c r="N41" s="55">
        <f t="shared" si="2"/>
        <v>6.9822485207100593</v>
      </c>
      <c r="O41" s="55">
        <f t="shared" si="2"/>
        <v>6.1538461538461524</v>
      </c>
      <c r="P41" s="55">
        <f t="shared" si="2"/>
        <v>13.136094674556212</v>
      </c>
      <c r="Q41" s="55">
        <f t="shared" si="2"/>
        <v>2.8994082840236701</v>
      </c>
      <c r="R41" s="55">
        <f t="shared" si="2"/>
        <v>16.035502958579883</v>
      </c>
      <c r="S41" s="55">
        <f t="shared" si="2"/>
        <v>5.0295857988165684</v>
      </c>
      <c r="T41" s="55">
        <f t="shared" si="2"/>
        <v>21.065088757396449</v>
      </c>
    </row>
    <row r="42" spans="1:20">
      <c r="B42" t="s">
        <v>743</v>
      </c>
      <c r="C42">
        <v>7.9</v>
      </c>
      <c r="D42">
        <v>7.9</v>
      </c>
      <c r="E42">
        <f t="shared" si="3"/>
        <v>3.5</v>
      </c>
      <c r="F42">
        <v>11.4</v>
      </c>
      <c r="G42">
        <f t="shared" si="3"/>
        <v>3.5</v>
      </c>
      <c r="H42">
        <v>14.9</v>
      </c>
      <c r="I42">
        <f>J42-H42</f>
        <v>16.899999999999999</v>
      </c>
      <c r="J42">
        <v>31.8</v>
      </c>
      <c r="M42" s="55">
        <f>C42/84.5*50</f>
        <v>4.6745562130177518</v>
      </c>
      <c r="N42" s="55">
        <f t="shared" si="2"/>
        <v>4.6745562130177518</v>
      </c>
      <c r="O42" s="55">
        <f t="shared" si="2"/>
        <v>2.0710059171597637</v>
      </c>
      <c r="P42" s="55">
        <f t="shared" si="2"/>
        <v>6.7455621301775155</v>
      </c>
      <c r="Q42" s="55">
        <f t="shared" si="2"/>
        <v>2.0710059171597637</v>
      </c>
      <c r="R42" s="55">
        <f t="shared" si="2"/>
        <v>8.8165680473372774</v>
      </c>
      <c r="S42" s="55">
        <f t="shared" si="2"/>
        <v>10</v>
      </c>
      <c r="T42" s="55">
        <f t="shared" si="2"/>
        <v>18.816568047337277</v>
      </c>
    </row>
    <row r="45" spans="1:20">
      <c r="A45" s="26" t="s">
        <v>750</v>
      </c>
    </row>
    <row r="46" spans="1:20">
      <c r="A46" t="s">
        <v>728</v>
      </c>
      <c r="C46" t="s">
        <v>761</v>
      </c>
      <c r="D46" t="s">
        <v>752</v>
      </c>
      <c r="E46" t="s">
        <v>760</v>
      </c>
      <c r="F46" t="s">
        <v>753</v>
      </c>
      <c r="G46" t="s">
        <v>755</v>
      </c>
      <c r="H46" t="s">
        <v>754</v>
      </c>
      <c r="L46" s="26" t="s">
        <v>764</v>
      </c>
      <c r="M46" t="s">
        <v>761</v>
      </c>
      <c r="N46" t="s">
        <v>752</v>
      </c>
      <c r="O46" t="s">
        <v>760</v>
      </c>
      <c r="P46" t="s">
        <v>753</v>
      </c>
      <c r="Q46" t="s">
        <v>755</v>
      </c>
      <c r="R46" t="s">
        <v>754</v>
      </c>
    </row>
    <row r="47" spans="1:20">
      <c r="A47" t="s">
        <v>742</v>
      </c>
      <c r="C47">
        <v>10.5</v>
      </c>
      <c r="D47">
        <v>10.5</v>
      </c>
      <c r="E47">
        <f t="shared" ref="E47:G48" si="4">F47-D47</f>
        <v>4.5999999999999996</v>
      </c>
      <c r="F47">
        <v>15.1</v>
      </c>
      <c r="G47">
        <f>H47-F47</f>
        <v>1.9000000000000004</v>
      </c>
      <c r="H47">
        <v>17</v>
      </c>
      <c r="K47" t="s">
        <v>751</v>
      </c>
      <c r="M47" s="55">
        <f t="shared" ref="M47:R47" si="5">C47/43.2*180</f>
        <v>43.75</v>
      </c>
      <c r="N47" s="55">
        <f t="shared" si="5"/>
        <v>43.75</v>
      </c>
      <c r="O47" s="55">
        <f t="shared" si="5"/>
        <v>19.166666666666664</v>
      </c>
      <c r="P47" s="55">
        <f t="shared" si="5"/>
        <v>62.916666666666657</v>
      </c>
      <c r="Q47" s="55">
        <f t="shared" si="5"/>
        <v>7.9166666666666679</v>
      </c>
      <c r="R47" s="55">
        <f t="shared" si="5"/>
        <v>70.833333333333329</v>
      </c>
    </row>
    <row r="48" spans="1:20">
      <c r="A48" t="s">
        <v>762</v>
      </c>
      <c r="C48">
        <v>15.2</v>
      </c>
      <c r="D48">
        <v>15.2</v>
      </c>
      <c r="E48">
        <f t="shared" si="4"/>
        <v>6.5</v>
      </c>
      <c r="F48">
        <v>21.7</v>
      </c>
      <c r="G48">
        <f t="shared" si="4"/>
        <v>2.6000000000000014</v>
      </c>
      <c r="H48">
        <v>24.3</v>
      </c>
      <c r="K48" t="s">
        <v>763</v>
      </c>
      <c r="M48" s="55">
        <f t="shared" ref="M48:R48" si="6">C48/62*180</f>
        <v>44.129032258064512</v>
      </c>
      <c r="N48" s="55">
        <f t="shared" si="6"/>
        <v>44.129032258064512</v>
      </c>
      <c r="O48" s="55">
        <f t="shared" si="6"/>
        <v>18.870967741935484</v>
      </c>
      <c r="P48" s="55">
        <f t="shared" si="6"/>
        <v>62.999999999999993</v>
      </c>
      <c r="Q48" s="55">
        <f t="shared" si="6"/>
        <v>7.5483870967741975</v>
      </c>
      <c r="R48" s="55">
        <f t="shared" si="6"/>
        <v>70.548387096774192</v>
      </c>
    </row>
    <row r="51" spans="1:20">
      <c r="A51" s="26" t="s">
        <v>767</v>
      </c>
    </row>
    <row r="52" spans="1:20">
      <c r="A52" t="s">
        <v>728</v>
      </c>
      <c r="C52" t="s">
        <v>733</v>
      </c>
      <c r="D52" t="s">
        <v>729</v>
      </c>
      <c r="E52" t="s">
        <v>734</v>
      </c>
      <c r="F52" t="s">
        <v>730</v>
      </c>
      <c r="G52" t="s">
        <v>735</v>
      </c>
      <c r="H52" t="s">
        <v>731</v>
      </c>
      <c r="I52" t="s">
        <v>736</v>
      </c>
      <c r="J52" t="s">
        <v>732</v>
      </c>
      <c r="L52" s="26" t="s">
        <v>745</v>
      </c>
      <c r="M52" t="s">
        <v>733</v>
      </c>
      <c r="N52" t="s">
        <v>729</v>
      </c>
      <c r="O52" t="s">
        <v>734</v>
      </c>
      <c r="P52" t="s">
        <v>730</v>
      </c>
      <c r="Q52" t="s">
        <v>735</v>
      </c>
      <c r="R52" t="s">
        <v>731</v>
      </c>
      <c r="S52" t="s">
        <v>736</v>
      </c>
      <c r="T52" t="s">
        <v>732</v>
      </c>
    </row>
    <row r="53" spans="1:20">
      <c r="A53" t="s">
        <v>768</v>
      </c>
      <c r="B53" t="s">
        <v>738</v>
      </c>
      <c r="C53">
        <v>29.1</v>
      </c>
      <c r="D53">
        <v>29.1</v>
      </c>
      <c r="E53">
        <f>F53-D53</f>
        <v>8.6999999999999957</v>
      </c>
      <c r="F53">
        <v>37.799999999999997</v>
      </c>
      <c r="G53">
        <f>H53-F53</f>
        <v>13.900000000000006</v>
      </c>
      <c r="H53">
        <v>51.7</v>
      </c>
      <c r="I53">
        <f>J53-H53</f>
        <v>18.799999999999997</v>
      </c>
      <c r="J53">
        <v>70.5</v>
      </c>
      <c r="K53" t="s">
        <v>769</v>
      </c>
      <c r="M53" s="55">
        <f>C53/87.3*600</f>
        <v>200.00000000000003</v>
      </c>
      <c r="N53" s="55">
        <f t="shared" ref="N53:T54" si="7">D53/87.3*600</f>
        <v>200.00000000000003</v>
      </c>
      <c r="O53" s="55">
        <f t="shared" si="7"/>
        <v>59.793814432989663</v>
      </c>
      <c r="P53" s="55">
        <f t="shared" si="7"/>
        <v>259.79381443298968</v>
      </c>
      <c r="Q53" s="55">
        <f t="shared" si="7"/>
        <v>95.53264604811001</v>
      </c>
      <c r="R53" s="55">
        <f t="shared" si="7"/>
        <v>355.32646048109967</v>
      </c>
      <c r="S53" s="55">
        <f t="shared" si="7"/>
        <v>129.20962199312714</v>
      </c>
      <c r="T53" s="55">
        <f t="shared" si="7"/>
        <v>484.53608247422682</v>
      </c>
    </row>
    <row r="54" spans="1:20">
      <c r="B54" t="s">
        <v>726</v>
      </c>
      <c r="C54">
        <v>31.8</v>
      </c>
      <c r="D54">
        <v>31.8</v>
      </c>
      <c r="E54">
        <f>F54-D54</f>
        <v>11.499999999999996</v>
      </c>
      <c r="F54">
        <v>43.3</v>
      </c>
      <c r="M54" s="55">
        <f>C54/87.3*600</f>
        <v>218.55670103092785</v>
      </c>
      <c r="N54" s="55">
        <f t="shared" si="7"/>
        <v>218.55670103092785</v>
      </c>
      <c r="O54" s="55">
        <f t="shared" si="7"/>
        <v>79.037800687285213</v>
      </c>
      <c r="P54" s="55">
        <f t="shared" si="7"/>
        <v>297.59450171821305</v>
      </c>
      <c r="Q54" s="55"/>
      <c r="R54" s="55"/>
      <c r="S54" s="55"/>
      <c r="T54" s="55"/>
    </row>
    <row r="55" spans="1:20">
      <c r="B55" t="s">
        <v>770</v>
      </c>
    </row>
    <row r="58" spans="1:20">
      <c r="A58" s="26" t="s">
        <v>771</v>
      </c>
    </row>
    <row r="59" spans="1:20">
      <c r="A59" t="s">
        <v>728</v>
      </c>
      <c r="C59" t="s">
        <v>733</v>
      </c>
      <c r="D59" t="s">
        <v>729</v>
      </c>
      <c r="E59" t="s">
        <v>734</v>
      </c>
      <c r="F59" t="s">
        <v>730</v>
      </c>
      <c r="G59" t="s">
        <v>735</v>
      </c>
      <c r="H59" t="s">
        <v>731</v>
      </c>
      <c r="I59" t="s">
        <v>736</v>
      </c>
      <c r="J59" t="s">
        <v>732</v>
      </c>
      <c r="L59" s="26" t="s">
        <v>748</v>
      </c>
      <c r="M59" t="s">
        <v>733</v>
      </c>
      <c r="N59" t="s">
        <v>729</v>
      </c>
      <c r="O59" t="s">
        <v>734</v>
      </c>
      <c r="P59" t="s">
        <v>730</v>
      </c>
      <c r="Q59" t="s">
        <v>735</v>
      </c>
      <c r="R59" t="s">
        <v>731</v>
      </c>
      <c r="S59" t="s">
        <v>736</v>
      </c>
      <c r="T59" t="s">
        <v>732</v>
      </c>
    </row>
    <row r="60" spans="1:20">
      <c r="A60" t="s">
        <v>768</v>
      </c>
      <c r="B60" t="s">
        <v>738</v>
      </c>
      <c r="C60">
        <v>16.8</v>
      </c>
      <c r="D60">
        <v>16.8</v>
      </c>
      <c r="E60">
        <f>F60-D60</f>
        <v>14.3</v>
      </c>
      <c r="F60">
        <v>31.1</v>
      </c>
      <c r="G60">
        <f>H60-F60</f>
        <v>18.399999999999999</v>
      </c>
      <c r="H60">
        <v>49.5</v>
      </c>
      <c r="I60">
        <f>J60-H60</f>
        <v>21.200000000000003</v>
      </c>
      <c r="J60">
        <v>70.7</v>
      </c>
      <c r="K60" t="s">
        <v>772</v>
      </c>
      <c r="M60" s="55">
        <f t="shared" ref="M60:T61" si="8">C60/82*40</f>
        <v>8.1951219512195124</v>
      </c>
      <c r="N60" s="55">
        <f t="shared" si="8"/>
        <v>8.1951219512195124</v>
      </c>
      <c r="O60" s="55">
        <f t="shared" si="8"/>
        <v>6.9756097560975618</v>
      </c>
      <c r="P60" s="55">
        <f t="shared" si="8"/>
        <v>15.170731707317074</v>
      </c>
      <c r="Q60" s="55">
        <f t="shared" si="8"/>
        <v>8.9756097560975601</v>
      </c>
      <c r="R60" s="55">
        <f t="shared" si="8"/>
        <v>24.146341463414632</v>
      </c>
      <c r="S60" s="55">
        <f t="shared" si="8"/>
        <v>10.341463414634147</v>
      </c>
      <c r="T60" s="55">
        <f t="shared" si="8"/>
        <v>34.487804878048777</v>
      </c>
    </row>
    <row r="61" spans="1:20">
      <c r="B61" t="s">
        <v>726</v>
      </c>
      <c r="C61">
        <v>18.899999999999999</v>
      </c>
      <c r="D61">
        <v>18.899999999999999</v>
      </c>
      <c r="E61">
        <f>F61-D61</f>
        <v>12.200000000000003</v>
      </c>
      <c r="F61">
        <v>31.1</v>
      </c>
      <c r="M61" s="55">
        <f>C61/82*40</f>
        <v>9.2195121951219505</v>
      </c>
      <c r="N61" s="55">
        <f t="shared" si="8"/>
        <v>9.2195121951219505</v>
      </c>
      <c r="O61" s="55">
        <f t="shared" si="8"/>
        <v>5.9512195121951228</v>
      </c>
      <c r="P61" s="55">
        <f t="shared" si="8"/>
        <v>15.170731707317074</v>
      </c>
      <c r="Q61" s="55"/>
      <c r="R61" s="55"/>
      <c r="S61" s="55"/>
      <c r="T61" s="55"/>
    </row>
    <row r="64" spans="1:20">
      <c r="A64" s="26" t="s">
        <v>778</v>
      </c>
    </row>
    <row r="65" spans="1:28">
      <c r="A65" t="s">
        <v>728</v>
      </c>
      <c r="C65" t="s">
        <v>733</v>
      </c>
      <c r="D65" t="s">
        <v>729</v>
      </c>
      <c r="E65" t="s">
        <v>734</v>
      </c>
      <c r="F65" t="s">
        <v>730</v>
      </c>
      <c r="G65" t="s">
        <v>735</v>
      </c>
      <c r="H65" t="s">
        <v>731</v>
      </c>
      <c r="I65" t="s">
        <v>736</v>
      </c>
      <c r="J65" t="s">
        <v>732</v>
      </c>
      <c r="K65" t="s">
        <v>774</v>
      </c>
      <c r="L65" t="s">
        <v>775</v>
      </c>
      <c r="M65" t="s">
        <v>776</v>
      </c>
      <c r="N65" t="s">
        <v>777</v>
      </c>
      <c r="P65" s="26" t="s">
        <v>745</v>
      </c>
      <c r="Q65" t="s">
        <v>733</v>
      </c>
      <c r="R65" t="s">
        <v>729</v>
      </c>
      <c r="S65" t="s">
        <v>734</v>
      </c>
      <c r="T65" t="s">
        <v>730</v>
      </c>
      <c r="U65" t="s">
        <v>735</v>
      </c>
      <c r="V65" t="s">
        <v>731</v>
      </c>
      <c r="W65" t="s">
        <v>736</v>
      </c>
      <c r="X65" t="s">
        <v>732</v>
      </c>
      <c r="Y65" t="s">
        <v>774</v>
      </c>
      <c r="Z65" t="s">
        <v>775</v>
      </c>
      <c r="AA65" t="s">
        <v>776</v>
      </c>
      <c r="AB65" t="s">
        <v>777</v>
      </c>
    </row>
    <row r="66" spans="1:28">
      <c r="A66" t="s">
        <v>768</v>
      </c>
      <c r="C66">
        <v>10</v>
      </c>
      <c r="D66">
        <v>10</v>
      </c>
      <c r="E66">
        <f>F66-D66</f>
        <v>4.9000000000000004</v>
      </c>
      <c r="F66">
        <v>14.9</v>
      </c>
      <c r="G66">
        <f>H66-F66</f>
        <v>8.2999999999999989</v>
      </c>
      <c r="H66">
        <v>23.2</v>
      </c>
      <c r="I66">
        <f>J66-H66</f>
        <v>9.3000000000000007</v>
      </c>
      <c r="J66">
        <v>32.5</v>
      </c>
      <c r="K66">
        <f>L66-J66</f>
        <v>8.1000000000000014</v>
      </c>
      <c r="L66">
        <v>40.6</v>
      </c>
      <c r="M66">
        <f>N66-L66</f>
        <v>7.6000000000000014</v>
      </c>
      <c r="N66">
        <v>48.2</v>
      </c>
      <c r="O66" t="s">
        <v>779</v>
      </c>
      <c r="Q66" s="55">
        <f>C66/59.8*1300</f>
        <v>217.39130434782609</v>
      </c>
      <c r="R66" s="55">
        <f t="shared" ref="R66:AB66" si="9">D66/59.8*1300</f>
        <v>217.39130434782609</v>
      </c>
      <c r="S66" s="55">
        <f t="shared" si="9"/>
        <v>106.5217391304348</v>
      </c>
      <c r="T66" s="55">
        <f t="shared" si="9"/>
        <v>323.91304347826093</v>
      </c>
      <c r="U66" s="55">
        <f t="shared" si="9"/>
        <v>180.43478260869563</v>
      </c>
      <c r="V66" s="55">
        <f t="shared" si="9"/>
        <v>504.34782608695656</v>
      </c>
      <c r="W66" s="55">
        <f t="shared" si="9"/>
        <v>202.17391304347828</v>
      </c>
      <c r="X66" s="55">
        <f t="shared" si="9"/>
        <v>706.52173913043475</v>
      </c>
      <c r="Y66" s="55">
        <f t="shared" si="9"/>
        <v>176.08695652173915</v>
      </c>
      <c r="Z66" s="55">
        <f t="shared" si="9"/>
        <v>882.60869565217399</v>
      </c>
      <c r="AA66" s="55">
        <f t="shared" si="9"/>
        <v>165.21739130434787</v>
      </c>
      <c r="AB66" s="55">
        <f t="shared" si="9"/>
        <v>1047.826086956522</v>
      </c>
    </row>
    <row r="69" spans="1:28">
      <c r="A69" s="26" t="s">
        <v>780</v>
      </c>
    </row>
    <row r="70" spans="1:28">
      <c r="A70" t="s">
        <v>728</v>
      </c>
      <c r="C70" t="s">
        <v>733</v>
      </c>
      <c r="D70" t="s">
        <v>729</v>
      </c>
      <c r="E70" t="s">
        <v>734</v>
      </c>
      <c r="F70" t="s">
        <v>730</v>
      </c>
      <c r="G70" t="s">
        <v>735</v>
      </c>
      <c r="H70" t="s">
        <v>731</v>
      </c>
      <c r="I70" t="s">
        <v>736</v>
      </c>
      <c r="J70" t="s">
        <v>732</v>
      </c>
      <c r="K70" t="s">
        <v>774</v>
      </c>
      <c r="L70" t="s">
        <v>775</v>
      </c>
      <c r="N70" s="26" t="s">
        <v>748</v>
      </c>
      <c r="O70" t="s">
        <v>733</v>
      </c>
      <c r="P70" t="s">
        <v>729</v>
      </c>
      <c r="Q70" t="s">
        <v>734</v>
      </c>
      <c r="R70" t="s">
        <v>730</v>
      </c>
      <c r="S70" t="s">
        <v>735</v>
      </c>
      <c r="T70" t="s">
        <v>731</v>
      </c>
      <c r="U70" t="s">
        <v>736</v>
      </c>
      <c r="V70" t="s">
        <v>732</v>
      </c>
      <c r="W70" t="s">
        <v>774</v>
      </c>
      <c r="X70" t="s">
        <v>775</v>
      </c>
    </row>
    <row r="71" spans="1:28">
      <c r="A71" t="s">
        <v>768</v>
      </c>
      <c r="C71">
        <v>11.9</v>
      </c>
      <c r="D71">
        <v>11.9</v>
      </c>
      <c r="E71">
        <f>F71-D71</f>
        <v>12.299999999999999</v>
      </c>
      <c r="F71">
        <v>24.2</v>
      </c>
      <c r="G71">
        <f>H71-F71</f>
        <v>13.099999999999998</v>
      </c>
      <c r="H71">
        <v>37.299999999999997</v>
      </c>
      <c r="I71">
        <f>J71-H71</f>
        <v>4.7000000000000028</v>
      </c>
      <c r="J71">
        <v>42</v>
      </c>
      <c r="K71">
        <f>L71-J71</f>
        <v>13.100000000000001</v>
      </c>
      <c r="L71">
        <v>55.1</v>
      </c>
      <c r="M71" t="s">
        <v>781</v>
      </c>
      <c r="O71" s="55">
        <f>C71/87.9*140</f>
        <v>18.953356086461888</v>
      </c>
      <c r="P71" s="55">
        <f t="shared" ref="P71:X71" si="10">D71/87.9*140</f>
        <v>18.953356086461888</v>
      </c>
      <c r="Q71" s="55">
        <f t="shared" si="10"/>
        <v>19.590443686006822</v>
      </c>
      <c r="R71" s="55">
        <f t="shared" si="10"/>
        <v>38.543799772468709</v>
      </c>
      <c r="S71" s="55">
        <f t="shared" si="10"/>
        <v>20.864618885096696</v>
      </c>
      <c r="T71" s="55">
        <f t="shared" si="10"/>
        <v>59.408418657565413</v>
      </c>
      <c r="U71" s="55">
        <f t="shared" si="10"/>
        <v>7.4857792946530193</v>
      </c>
      <c r="V71" s="55">
        <f t="shared" si="10"/>
        <v>66.89419795221842</v>
      </c>
      <c r="W71" s="55">
        <f t="shared" si="10"/>
        <v>20.864618885096704</v>
      </c>
      <c r="X71" s="55">
        <f t="shared" si="10"/>
        <v>87.758816837315123</v>
      </c>
      <c r="Y71" s="55"/>
      <c r="Z71" s="55"/>
    </row>
    <row r="74" spans="1:28">
      <c r="A74" s="26" t="s">
        <v>783</v>
      </c>
    </row>
    <row r="75" spans="1:28">
      <c r="A75" t="s">
        <v>728</v>
      </c>
      <c r="C75" t="s">
        <v>733</v>
      </c>
      <c r="D75" t="s">
        <v>729</v>
      </c>
      <c r="E75" t="s">
        <v>734</v>
      </c>
      <c r="F75" t="s">
        <v>730</v>
      </c>
      <c r="G75" t="s">
        <v>735</v>
      </c>
      <c r="H75" t="s">
        <v>731</v>
      </c>
      <c r="I75" t="s">
        <v>736</v>
      </c>
      <c r="J75" t="s">
        <v>732</v>
      </c>
      <c r="K75" t="s">
        <v>774</v>
      </c>
      <c r="L75" t="s">
        <v>775</v>
      </c>
      <c r="N75" s="26" t="s">
        <v>782</v>
      </c>
      <c r="O75" t="s">
        <v>733</v>
      </c>
      <c r="P75" t="s">
        <v>729</v>
      </c>
      <c r="Q75" t="s">
        <v>734</v>
      </c>
      <c r="R75" t="s">
        <v>730</v>
      </c>
      <c r="S75" t="s">
        <v>735</v>
      </c>
      <c r="T75" t="s">
        <v>731</v>
      </c>
      <c r="U75" t="s">
        <v>736</v>
      </c>
      <c r="V75" t="s">
        <v>732</v>
      </c>
      <c r="W75" t="s">
        <v>774</v>
      </c>
      <c r="X75" t="s">
        <v>775</v>
      </c>
    </row>
    <row r="76" spans="1:28">
      <c r="A76" t="s">
        <v>768</v>
      </c>
      <c r="C76">
        <v>4.7</v>
      </c>
      <c r="D76">
        <v>4.7</v>
      </c>
      <c r="E76">
        <f>F76-D76</f>
        <v>9.6000000000000014</v>
      </c>
      <c r="F76">
        <v>14.3</v>
      </c>
      <c r="G76">
        <f>H76-F76</f>
        <v>7</v>
      </c>
      <c r="H76">
        <v>21.3</v>
      </c>
      <c r="I76">
        <f>J76-H76</f>
        <v>11.8</v>
      </c>
      <c r="J76">
        <v>33.1</v>
      </c>
      <c r="K76">
        <f>L76-J76</f>
        <v>5.6999999999999957</v>
      </c>
      <c r="L76">
        <v>38.799999999999997</v>
      </c>
      <c r="M76" t="s">
        <v>784</v>
      </c>
      <c r="O76" s="55">
        <f>C76/62*12</f>
        <v>0.9096774193548387</v>
      </c>
      <c r="P76" s="55">
        <f t="shared" ref="P76:X76" si="11">D76/62*12</f>
        <v>0.9096774193548387</v>
      </c>
      <c r="Q76" s="55">
        <f t="shared" si="11"/>
        <v>1.8580645161290326</v>
      </c>
      <c r="R76" s="55">
        <f t="shared" si="11"/>
        <v>2.7677419354838708</v>
      </c>
      <c r="S76" s="55">
        <f t="shared" si="11"/>
        <v>1.3548387096774193</v>
      </c>
      <c r="T76" s="55">
        <f t="shared" si="11"/>
        <v>4.1225806451612907</v>
      </c>
      <c r="U76" s="55">
        <f t="shared" si="11"/>
        <v>2.2838709677419358</v>
      </c>
      <c r="V76" s="55">
        <f t="shared" si="11"/>
        <v>6.4064516129032265</v>
      </c>
      <c r="W76" s="55">
        <f t="shared" si="11"/>
        <v>1.1032258064516121</v>
      </c>
      <c r="X76" s="55">
        <f t="shared" si="11"/>
        <v>7.5096774193548379</v>
      </c>
      <c r="Y76" s="55"/>
      <c r="Z76" s="5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Inhalt der Mappe</vt:lpstr>
      <vt:lpstr>Amann, SDW</vt:lpstr>
      <vt:lpstr>CMA</vt:lpstr>
      <vt:lpstr>Jarvis</vt:lpstr>
      <vt:lpstr>Köstler</vt:lpstr>
      <vt:lpstr>Lyr, Fiedler, Tr.</vt:lpstr>
      <vt:lpstr>Bungart</vt:lpstr>
      <vt:lpstr>Rock-BHK</vt:lpstr>
      <vt:lpstr>Hofmann</vt:lpstr>
      <vt:lpstr>Liesebach</vt:lpstr>
      <vt:lpstr>Stetter</vt:lpstr>
      <vt:lpstr>Jug</vt:lpstr>
      <vt:lpstr>Duchesne</vt:lpstr>
      <vt:lpstr>Johansson</vt:lpstr>
      <vt:lpstr>DesRochers</vt:lpstr>
      <vt:lpstr>Ruark + B.</vt:lpstr>
      <vt:lpstr>Rätzel</vt:lpstr>
      <vt:lpstr>Kronenbr.</vt:lpstr>
      <vt:lpstr>Leder</vt:lpstr>
      <vt:lpstr>Sämlinge</vt:lpstr>
      <vt:lpstr>Pinno</vt:lpstr>
      <vt:lpstr>Osawa</vt:lpstr>
      <vt:lpstr>Ewers</vt:lpstr>
      <vt:lpstr>Stockaus.</vt:lpstr>
      <vt:lpstr>Bond_L</vt:lpstr>
      <vt:lpstr>Pregitzer_roots</vt:lpstr>
      <vt:lpstr>Hofmann_S</vt:lpstr>
      <vt:lpstr>Person</vt:lpstr>
      <vt:lpstr>Muhs</vt:lpstr>
      <vt:lpstr>Wolf</vt:lpstr>
      <vt:lpstr>Poker</vt:lpstr>
      <vt:lpstr>##dbh-rKr.</vt:lpstr>
      <vt:lpstr>##BlattmasseHöheAs</vt:lpstr>
      <vt:lpstr>##leafmass_sapwood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</dc:creator>
  <cp:lastModifiedBy>Petra Lasch</cp:lastModifiedBy>
  <cp:lastPrinted>2005-05-12T10:37:42Z</cp:lastPrinted>
  <dcterms:created xsi:type="dcterms:W3CDTF">2004-06-03T13:51:43Z</dcterms:created>
  <dcterms:modified xsi:type="dcterms:W3CDTF">2019-06-11T09:09:36Z</dcterms:modified>
</cp:coreProperties>
</file>