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5" yWindow="60" windowWidth="13320" windowHeight="8235" firstSheet="18" activeTab="28"/>
  </bookViews>
  <sheets>
    <sheet name="Content" sheetId="1" r:id="rId1"/>
    <sheet name="species_models" sheetId="2" r:id="rId2"/>
    <sheet name="Modellparameter" sheetId="3" r:id="rId3"/>
    <sheet name="additional data" sheetId="4" r:id="rId4"/>
    <sheet name="max_age" sheetId="5" r:id="rId5"/>
    <sheet name="stol" sheetId="6" r:id="rId6"/>
    <sheet name="pfext" sheetId="7" r:id="rId7"/>
    <sheet name="sigman" sheetId="8" r:id="rId8"/>
    <sheet name="respcoeff" sheetId="9" r:id="rId9"/>
    <sheet name="prg" sheetId="10" r:id="rId10"/>
    <sheet name="prms" sheetId="11" r:id="rId11"/>
    <sheet name="prmr" sheetId="12" r:id="rId12"/>
    <sheet name="psf" sheetId="13" r:id="rId13"/>
    <sheet name="pss" sheetId="14" r:id="rId14"/>
    <sheet name="psr" sheetId="15" r:id="rId15"/>
    <sheet name="pncr" sheetId="16" r:id="rId16"/>
    <sheet name="reallo_fol" sheetId="17" r:id="rId17"/>
    <sheet name="reallo_frt" sheetId="18" r:id="rId18"/>
    <sheet name="Ncon_fol" sheetId="19" r:id="rId19"/>
    <sheet name="Ncon_frt" sheetId="20" r:id="rId20"/>
    <sheet name="Ncon_crt" sheetId="21" r:id="rId21"/>
    <sheet name="Ncon_tbc" sheetId="22" r:id="rId22"/>
    <sheet name="Ncon_stem" sheetId="23" r:id="rId23"/>
    <sheet name="alphac" sheetId="24" r:id="rId24"/>
    <sheet name="cr_frac" sheetId="25" r:id="rId25"/>
    <sheet name="prhos" sheetId="26" r:id="rId26"/>
    <sheet name="pnus" sheetId="27" r:id="rId27"/>
    <sheet name="pha" sheetId="28" r:id="rId28"/>
    <sheet name="pha_v1_v2_v3" sheetId="40" r:id="rId29"/>
    <sheet name="crown_a" sheetId="29" r:id="rId30"/>
    <sheet name="Kronenansatzhöhe" sheetId="41" r:id="rId31"/>
    <sheet name="psla_min" sheetId="31" r:id="rId32"/>
    <sheet name="psla_a" sheetId="33" r:id="rId33"/>
    <sheet name="pb" sheetId="32" r:id="rId34"/>
    <sheet name="end_bb" sheetId="34" r:id="rId35"/>
    <sheet name="ceppot_spec" sheetId="35" r:id="rId36"/>
    <sheet name="k_opm_fol" sheetId="36" r:id="rId37"/>
    <sheet name="k_syn_fol" sheetId="42" r:id="rId38"/>
    <sheet name="k_opm_frt" sheetId="37" r:id="rId39"/>
    <sheet name="k_opm_stem" sheetId="38" r:id="rId40"/>
    <sheet name="k_opm_tbc" sheetId="39" r:id="rId41"/>
  </sheets>
  <definedNames>
    <definedName name="solver_adj" localSheetId="28" hidden="1">pha_v1_v2_v3!$X$25:$X$27</definedName>
    <definedName name="solver_cvg" localSheetId="28" hidden="1">0.0001</definedName>
    <definedName name="solver_drv" localSheetId="28" hidden="1">1</definedName>
    <definedName name="solver_est" localSheetId="28" hidden="1">1</definedName>
    <definedName name="solver_itr" localSheetId="28" hidden="1">100</definedName>
    <definedName name="solver_lin" localSheetId="28" hidden="1">2</definedName>
    <definedName name="solver_neg" localSheetId="28" hidden="1">2</definedName>
    <definedName name="solver_num" localSheetId="28" hidden="1">0</definedName>
    <definedName name="solver_nwt" localSheetId="28" hidden="1">1</definedName>
    <definedName name="solver_opt" localSheetId="28" hidden="1">pha_v1_v2_v3!$AB$37</definedName>
    <definedName name="solver_pre" localSheetId="28" hidden="1">0.000001</definedName>
    <definedName name="solver_scl" localSheetId="28" hidden="1">2</definedName>
    <definedName name="solver_sho" localSheetId="28" hidden="1">2</definedName>
    <definedName name="solver_tim" localSheetId="28" hidden="1">100</definedName>
    <definedName name="solver_tol" localSheetId="28" hidden="1">0.05</definedName>
    <definedName name="solver_typ" localSheetId="28" hidden="1">2</definedName>
    <definedName name="solver_val" localSheetId="28" hidden="1">0</definedName>
  </definedNames>
  <calcPr calcId="145621"/>
</workbook>
</file>

<file path=xl/calcChain.xml><?xml version="1.0" encoding="utf-8"?>
<calcChain xmlns="http://schemas.openxmlformats.org/spreadsheetml/2006/main">
  <c r="AC37" i="37" l="1"/>
  <c r="AB37" i="37"/>
  <c r="X36" i="37"/>
  <c r="AC31" i="37"/>
  <c r="Y31" i="37"/>
  <c r="X30" i="37"/>
  <c r="T34" i="37"/>
  <c r="N31" i="37"/>
  <c r="Z31" i="37" s="1"/>
  <c r="M36" i="37"/>
  <c r="U36" i="37" s="1"/>
  <c r="H30" i="37"/>
  <c r="N30" i="37" s="1"/>
  <c r="AA30" i="37" s="1"/>
  <c r="H31" i="37"/>
  <c r="H33" i="37"/>
  <c r="J30" i="37" s="1"/>
  <c r="P30" i="37" s="1"/>
  <c r="H34" i="37"/>
  <c r="J31" i="37" s="1"/>
  <c r="P31" i="37" s="1"/>
  <c r="H36" i="37"/>
  <c r="N36" i="37" s="1"/>
  <c r="AA36" i="37" s="1"/>
  <c r="H37" i="37"/>
  <c r="N37" i="37" s="1"/>
  <c r="G31" i="37"/>
  <c r="G33" i="37"/>
  <c r="M33" i="37" s="1"/>
  <c r="G34" i="37"/>
  <c r="M34" i="37" s="1"/>
  <c r="G36" i="37"/>
  <c r="G37" i="37"/>
  <c r="M37" i="37" s="1"/>
  <c r="G30" i="37"/>
  <c r="D39" i="37"/>
  <c r="E39" i="37"/>
  <c r="F39" i="37"/>
  <c r="C39" i="37"/>
  <c r="I23" i="42"/>
  <c r="I32" i="42"/>
  <c r="E21" i="25"/>
  <c r="G21" i="25"/>
  <c r="E22" i="25"/>
  <c r="G22" i="25"/>
  <c r="E23" i="25"/>
  <c r="E24" i="25"/>
  <c r="G24" i="25"/>
  <c r="E25" i="25"/>
  <c r="E26" i="25"/>
  <c r="G26" i="25"/>
  <c r="E27" i="25"/>
  <c r="G27" i="25" s="1"/>
  <c r="E28" i="25"/>
  <c r="G28" i="25"/>
  <c r="F21" i="25"/>
  <c r="F22" i="25"/>
  <c r="F24" i="25"/>
  <c r="F26" i="25"/>
  <c r="F27" i="25"/>
  <c r="F28" i="25"/>
  <c r="P16" i="25"/>
  <c r="O16" i="25"/>
  <c r="C9" i="41"/>
  <c r="D9" i="41"/>
  <c r="C10" i="41"/>
  <c r="D10" i="41"/>
  <c r="C11" i="41"/>
  <c r="D11" i="41"/>
  <c r="C12" i="41"/>
  <c r="D12" i="41"/>
  <c r="C13" i="41"/>
  <c r="D13" i="41"/>
  <c r="C14" i="41"/>
  <c r="D14" i="41"/>
  <c r="C15" i="41"/>
  <c r="D15" i="41"/>
  <c r="C16" i="41"/>
  <c r="D16" i="41"/>
  <c r="C17" i="41"/>
  <c r="D17" i="41"/>
  <c r="C18" i="41"/>
  <c r="D18" i="41"/>
  <c r="C19" i="41"/>
  <c r="D19" i="41"/>
  <c r="C20" i="41"/>
  <c r="D20" i="41"/>
  <c r="C21" i="41"/>
  <c r="D21" i="41"/>
  <c r="C22" i="41"/>
  <c r="D22" i="41"/>
  <c r="C23" i="41"/>
  <c r="D23" i="41"/>
  <c r="C24" i="41"/>
  <c r="D24" i="41"/>
  <c r="C25" i="41"/>
  <c r="D25" i="41"/>
  <c r="C26" i="41"/>
  <c r="D26" i="41"/>
  <c r="C27" i="41"/>
  <c r="D27" i="41"/>
  <c r="C28" i="41"/>
  <c r="D28" i="41"/>
  <c r="C29" i="41"/>
  <c r="D29" i="41"/>
  <c r="AA3" i="40"/>
  <c r="AB3" i="40"/>
  <c r="AA4" i="40"/>
  <c r="AB4" i="40" s="1"/>
  <c r="C5" i="40"/>
  <c r="D5" i="40"/>
  <c r="F5" i="40" s="1"/>
  <c r="G5" i="40" s="1"/>
  <c r="AA5" i="40"/>
  <c r="AB5" i="40" s="1"/>
  <c r="C6" i="40"/>
  <c r="D6" i="40" s="1"/>
  <c r="F6" i="40"/>
  <c r="G6" i="40" s="1"/>
  <c r="AA6" i="40"/>
  <c r="AB6" i="40" s="1"/>
  <c r="C7" i="40"/>
  <c r="D7" i="40"/>
  <c r="F7" i="40" s="1"/>
  <c r="G7" i="40" s="1"/>
  <c r="AA7" i="40"/>
  <c r="AB7" i="40" s="1"/>
  <c r="C8" i="40"/>
  <c r="D8" i="40" s="1"/>
  <c r="F8" i="40"/>
  <c r="G8" i="40" s="1"/>
  <c r="AA8" i="40"/>
  <c r="AB8" i="40" s="1"/>
  <c r="C9" i="40"/>
  <c r="D9" i="40"/>
  <c r="F9" i="40" s="1"/>
  <c r="G9" i="40" s="1"/>
  <c r="AA9" i="40"/>
  <c r="AB9" i="40" s="1"/>
  <c r="C10" i="40"/>
  <c r="D10" i="40" s="1"/>
  <c r="F10" i="40"/>
  <c r="G10" i="40"/>
  <c r="AA10" i="40"/>
  <c r="AB10" i="40" s="1"/>
  <c r="C11" i="40"/>
  <c r="D11" i="40"/>
  <c r="F11" i="40" s="1"/>
  <c r="G11" i="40" s="1"/>
  <c r="AA11" i="40"/>
  <c r="AB11" i="40" s="1"/>
  <c r="AB37" i="40" s="1"/>
  <c r="C12" i="40"/>
  <c r="D12" i="40" s="1"/>
  <c r="F12" i="40"/>
  <c r="G12" i="40"/>
  <c r="AA12" i="40"/>
  <c r="AB12" i="40" s="1"/>
  <c r="C13" i="40"/>
  <c r="D13" i="40"/>
  <c r="F13" i="40" s="1"/>
  <c r="G13" i="40" s="1"/>
  <c r="AA13" i="40"/>
  <c r="AB13" i="40" s="1"/>
  <c r="C14" i="40"/>
  <c r="D14" i="40" s="1"/>
  <c r="F14" i="40"/>
  <c r="G14" i="40" s="1"/>
  <c r="AA14" i="40"/>
  <c r="AB14" i="40" s="1"/>
  <c r="C15" i="40"/>
  <c r="D15" i="40"/>
  <c r="F15" i="40" s="1"/>
  <c r="G15" i="40" s="1"/>
  <c r="AA15" i="40"/>
  <c r="AB15" i="40" s="1"/>
  <c r="C16" i="40"/>
  <c r="D16" i="40" s="1"/>
  <c r="F16" i="40"/>
  <c r="G16" i="40" s="1"/>
  <c r="AA16" i="40"/>
  <c r="AB16" i="40" s="1"/>
  <c r="C17" i="40"/>
  <c r="D17" i="40"/>
  <c r="F17" i="40" s="1"/>
  <c r="G17" i="40" s="1"/>
  <c r="AA17" i="40"/>
  <c r="AB17" i="40" s="1"/>
  <c r="C18" i="40"/>
  <c r="D18" i="40" s="1"/>
  <c r="F18" i="40"/>
  <c r="G18" i="40"/>
  <c r="AA18" i="40"/>
  <c r="AB18" i="40" s="1"/>
  <c r="C19" i="40"/>
  <c r="D19" i="40"/>
  <c r="F19" i="40" s="1"/>
  <c r="G19" i="40" s="1"/>
  <c r="AA19" i="40"/>
  <c r="AB19" i="40" s="1"/>
  <c r="C20" i="40"/>
  <c r="D20" i="40" s="1"/>
  <c r="F20" i="40"/>
  <c r="G20" i="40"/>
  <c r="AA20" i="40"/>
  <c r="AB20" i="40" s="1"/>
  <c r="C21" i="40"/>
  <c r="D21" i="40"/>
  <c r="F21" i="40" s="1"/>
  <c r="G21" i="40" s="1"/>
  <c r="AA21" i="40"/>
  <c r="AB21" i="40" s="1"/>
  <c r="C22" i="40"/>
  <c r="D22" i="40" s="1"/>
  <c r="F22" i="40"/>
  <c r="G22" i="40" s="1"/>
  <c r="AA22" i="40"/>
  <c r="AB22" i="40" s="1"/>
  <c r="C23" i="40"/>
  <c r="D23" i="40"/>
  <c r="F23" i="40" s="1"/>
  <c r="G23" i="40" s="1"/>
  <c r="AA23" i="40"/>
  <c r="AB23" i="40" s="1"/>
  <c r="C24" i="40"/>
  <c r="D24" i="40" s="1"/>
  <c r="F24" i="40" s="1"/>
  <c r="G24" i="40" s="1"/>
  <c r="AA24" i="40"/>
  <c r="AB24" i="40" s="1"/>
  <c r="C25" i="40"/>
  <c r="D25" i="40"/>
  <c r="F25" i="40" s="1"/>
  <c r="G25" i="40" s="1"/>
  <c r="AA25" i="40"/>
  <c r="AB25" i="40"/>
  <c r="AA26" i="40"/>
  <c r="AB26" i="40" s="1"/>
  <c r="AA27" i="40"/>
  <c r="AB27" i="40" s="1"/>
  <c r="C28" i="40"/>
  <c r="D28" i="40" s="1"/>
  <c r="F28" i="40" s="1"/>
  <c r="G28" i="40" s="1"/>
  <c r="AA28" i="40"/>
  <c r="AB28" i="40" s="1"/>
  <c r="C29" i="40"/>
  <c r="D29" i="40" s="1"/>
  <c r="F29" i="40" s="1"/>
  <c r="G29" i="40" s="1"/>
  <c r="J29" i="40"/>
  <c r="K29" i="40"/>
  <c r="L29" i="40"/>
  <c r="M29" i="40" s="1"/>
  <c r="P29" i="40"/>
  <c r="Q29" i="40" s="1"/>
  <c r="R29" i="40" s="1"/>
  <c r="AA29" i="40"/>
  <c r="AB29" i="40" s="1"/>
  <c r="C30" i="40"/>
  <c r="D30" i="40" s="1"/>
  <c r="F30" i="40"/>
  <c r="G30" i="40" s="1"/>
  <c r="J30" i="40"/>
  <c r="K30" i="40" s="1"/>
  <c r="L30" i="40" s="1"/>
  <c r="M30" i="40"/>
  <c r="P30" i="40"/>
  <c r="Q30" i="40" s="1"/>
  <c r="R30" i="40" s="1"/>
  <c r="S30" i="40" s="1"/>
  <c r="AA30" i="40"/>
  <c r="AB30" i="40" s="1"/>
  <c r="C31" i="40"/>
  <c r="D31" i="40" s="1"/>
  <c r="F31" i="40" s="1"/>
  <c r="G31" i="40" s="1"/>
  <c r="J31" i="40"/>
  <c r="K31" i="40" s="1"/>
  <c r="L31" i="40" s="1"/>
  <c r="M31" i="40" s="1"/>
  <c r="P31" i="40"/>
  <c r="Q31" i="40"/>
  <c r="R31" i="40"/>
  <c r="T31" i="40" s="1"/>
  <c r="U31" i="40" s="1"/>
  <c r="X31" i="40"/>
  <c r="AA31" i="40"/>
  <c r="AB31" i="40"/>
  <c r="C32" i="40"/>
  <c r="D32" i="40" s="1"/>
  <c r="F32" i="40" s="1"/>
  <c r="G32" i="40" s="1"/>
  <c r="J32" i="40"/>
  <c r="K32" i="40" s="1"/>
  <c r="L32" i="40"/>
  <c r="M32" i="40" s="1"/>
  <c r="P32" i="40"/>
  <c r="Q32" i="40" s="1"/>
  <c r="R32" i="40"/>
  <c r="T32" i="40" s="1"/>
  <c r="U32" i="40" s="1"/>
  <c r="S32" i="40"/>
  <c r="X32" i="40"/>
  <c r="AA32" i="40"/>
  <c r="AB32" i="40"/>
  <c r="C33" i="40"/>
  <c r="D33" i="40" s="1"/>
  <c r="F33" i="40" s="1"/>
  <c r="G33" i="40" s="1"/>
  <c r="J33" i="40"/>
  <c r="K33" i="40" s="1"/>
  <c r="L33" i="40" s="1"/>
  <c r="M33" i="40"/>
  <c r="P33" i="40"/>
  <c r="Q33" i="40" s="1"/>
  <c r="R33" i="40" s="1"/>
  <c r="S33" i="40" s="1"/>
  <c r="AA33" i="40"/>
  <c r="AB33" i="40"/>
  <c r="C34" i="40"/>
  <c r="D34" i="40" s="1"/>
  <c r="F34" i="40" s="1"/>
  <c r="G34" i="40" s="1"/>
  <c r="J34" i="40"/>
  <c r="K34" i="40" s="1"/>
  <c r="L34" i="40" s="1"/>
  <c r="M34" i="40"/>
  <c r="P34" i="40"/>
  <c r="Q34" i="40" s="1"/>
  <c r="R34" i="40" s="1"/>
  <c r="AA34" i="40"/>
  <c r="AB34" i="40"/>
  <c r="C35" i="40"/>
  <c r="D35" i="40" s="1"/>
  <c r="F35" i="40" s="1"/>
  <c r="G35" i="40" s="1"/>
  <c r="J35" i="40"/>
  <c r="K35" i="40" s="1"/>
  <c r="L35" i="40"/>
  <c r="M35" i="40" s="1"/>
  <c r="P35" i="40"/>
  <c r="Q35" i="40" s="1"/>
  <c r="R35" i="40"/>
  <c r="T35" i="40" s="1"/>
  <c r="U35" i="40" s="1"/>
  <c r="S35" i="40"/>
  <c r="AA35" i="40"/>
  <c r="AB35" i="40" s="1"/>
  <c r="C36" i="40"/>
  <c r="D36" i="40"/>
  <c r="F36" i="40" s="1"/>
  <c r="G36" i="40" s="1"/>
  <c r="J36" i="40"/>
  <c r="K36" i="40" s="1"/>
  <c r="L36" i="40" s="1"/>
  <c r="M36" i="40" s="1"/>
  <c r="P36" i="40"/>
  <c r="Q36" i="40"/>
  <c r="R36" i="40" s="1"/>
  <c r="S36" i="40" s="1"/>
  <c r="AA36" i="40"/>
  <c r="AB36" i="40"/>
  <c r="C37" i="40"/>
  <c r="D37" i="40" s="1"/>
  <c r="F37" i="40" s="1"/>
  <c r="G37" i="40"/>
  <c r="J37" i="40"/>
  <c r="K37" i="40" s="1"/>
  <c r="L37" i="40" s="1"/>
  <c r="M37" i="40" s="1"/>
  <c r="P37" i="40"/>
  <c r="Q37" i="40" s="1"/>
  <c r="R37" i="40" s="1"/>
  <c r="S37" i="40"/>
  <c r="T37" i="40"/>
  <c r="U37" i="40" s="1"/>
  <c r="C38" i="40"/>
  <c r="D38" i="40"/>
  <c r="F38" i="40"/>
  <c r="G38" i="40" s="1"/>
  <c r="J38" i="40"/>
  <c r="K38" i="40"/>
  <c r="L38" i="40" s="1"/>
  <c r="M38" i="40" s="1"/>
  <c r="P38" i="40"/>
  <c r="Q38" i="40"/>
  <c r="R38" i="40" s="1"/>
  <c r="C39" i="40"/>
  <c r="D39" i="40" s="1"/>
  <c r="F39" i="40"/>
  <c r="G39" i="40"/>
  <c r="J39" i="40"/>
  <c r="K39" i="40" s="1"/>
  <c r="L39" i="40" s="1"/>
  <c r="M39" i="40" s="1"/>
  <c r="P39" i="40"/>
  <c r="Q39" i="40" s="1"/>
  <c r="R39" i="40" s="1"/>
  <c r="C40" i="40"/>
  <c r="D40" i="40" s="1"/>
  <c r="F40" i="40"/>
  <c r="G40" i="40" s="1"/>
  <c r="J40" i="40"/>
  <c r="K40" i="40" s="1"/>
  <c r="L40" i="40"/>
  <c r="M40" i="40"/>
  <c r="P40" i="40"/>
  <c r="Q40" i="40" s="1"/>
  <c r="R40" i="40" s="1"/>
  <c r="C41" i="40"/>
  <c r="D41" i="40" s="1"/>
  <c r="F41" i="40" s="1"/>
  <c r="G41" i="40"/>
  <c r="J41" i="40"/>
  <c r="K41" i="40" s="1"/>
  <c r="L41" i="40" s="1"/>
  <c r="M41" i="40" s="1"/>
  <c r="P41" i="40"/>
  <c r="Q41" i="40" s="1"/>
  <c r="R41" i="40" s="1"/>
  <c r="S41" i="40" s="1"/>
  <c r="C42" i="40"/>
  <c r="D42" i="40" s="1"/>
  <c r="F42" i="40" s="1"/>
  <c r="G42" i="40" s="1"/>
  <c r="C43" i="40"/>
  <c r="D43" i="40"/>
  <c r="F43" i="40" s="1"/>
  <c r="G43" i="40" s="1"/>
  <c r="C48" i="40"/>
  <c r="F48" i="40" s="1"/>
  <c r="G48" i="40" s="1"/>
  <c r="C49" i="40"/>
  <c r="D49" i="40" s="1"/>
  <c r="E49" i="40" s="1"/>
  <c r="F49" i="40"/>
  <c r="G49" i="40" s="1"/>
  <c r="C50" i="40"/>
  <c r="D50" i="40" s="1"/>
  <c r="E50" i="40"/>
  <c r="F50" i="40"/>
  <c r="G50" i="40" s="1"/>
  <c r="C51" i="40"/>
  <c r="D51" i="40"/>
  <c r="E51" i="40"/>
  <c r="F51" i="40"/>
  <c r="G51" i="40" s="1"/>
  <c r="D18" i="36"/>
  <c r="D21" i="36" s="1"/>
  <c r="D19" i="36"/>
  <c r="Q2" i="36" s="1"/>
  <c r="D20" i="36"/>
  <c r="R2" i="36" s="1"/>
  <c r="S2" i="36"/>
  <c r="S6" i="36"/>
  <c r="T2" i="36"/>
  <c r="U2" i="36"/>
  <c r="U23" i="36"/>
  <c r="R3" i="36"/>
  <c r="O29" i="36"/>
  <c r="O30" i="36"/>
  <c r="O31" i="36"/>
  <c r="U31" i="36" s="1"/>
  <c r="O32" i="36"/>
  <c r="S32" i="36" s="1"/>
  <c r="O33" i="36"/>
  <c r="O34" i="36"/>
  <c r="O35" i="36"/>
  <c r="U35" i="36" s="1"/>
  <c r="O36" i="36"/>
  <c r="G16" i="21"/>
  <c r="I16" i="21"/>
  <c r="G17" i="21"/>
  <c r="H17" i="21"/>
  <c r="I17" i="21"/>
  <c r="J17" i="21" s="1"/>
  <c r="L17" i="21" s="1"/>
  <c r="H4" i="19"/>
  <c r="J4" i="19"/>
  <c r="L4" i="19" s="1"/>
  <c r="H5" i="19"/>
  <c r="J5" i="19"/>
  <c r="H6" i="19"/>
  <c r="J6" i="19"/>
  <c r="L6" i="19"/>
  <c r="H7" i="19"/>
  <c r="J7" i="19"/>
  <c r="H8" i="19"/>
  <c r="I8" i="19"/>
  <c r="J8" i="19"/>
  <c r="K8" i="19" s="1"/>
  <c r="H9" i="19"/>
  <c r="J9" i="19"/>
  <c r="L9" i="19" s="1"/>
  <c r="B83" i="19"/>
  <c r="G85" i="19"/>
  <c r="G21" i="20"/>
  <c r="K21" i="20" s="1"/>
  <c r="I21" i="20"/>
  <c r="G21" i="23"/>
  <c r="I21" i="23"/>
  <c r="G15" i="22"/>
  <c r="I15" i="22"/>
  <c r="K15" i="22"/>
  <c r="F10" i="16"/>
  <c r="F14" i="16"/>
  <c r="F18" i="16"/>
  <c r="F23" i="16"/>
  <c r="G23" i="16"/>
  <c r="D41" i="16"/>
  <c r="F41" i="16"/>
  <c r="D36" i="27"/>
  <c r="E36" i="27" s="1"/>
  <c r="D37" i="27"/>
  <c r="E37" i="27"/>
  <c r="D38" i="27"/>
  <c r="E38" i="27" s="1"/>
  <c r="D39" i="27"/>
  <c r="E39" i="27"/>
  <c r="C4" i="13"/>
  <c r="C8" i="13"/>
  <c r="C20" i="13"/>
  <c r="C24" i="13"/>
  <c r="I15" i="31"/>
  <c r="I16" i="31"/>
  <c r="I17" i="31"/>
  <c r="E95" i="31"/>
  <c r="C4" i="15"/>
  <c r="C11" i="15"/>
  <c r="B18" i="9"/>
  <c r="C18" i="9"/>
  <c r="A8" i="8"/>
  <c r="C8" i="8"/>
  <c r="D8" i="8"/>
  <c r="E8" i="8"/>
  <c r="E10" i="8" s="1"/>
  <c r="E12" i="8" s="1"/>
  <c r="E14" i="8" s="1"/>
  <c r="E16" i="8" s="1"/>
  <c r="A10" i="8"/>
  <c r="C10" i="8"/>
  <c r="D10" i="8"/>
  <c r="D12" i="8"/>
  <c r="D14" i="8" s="1"/>
  <c r="D16" i="8" s="1"/>
  <c r="A12" i="8"/>
  <c r="A14" i="8" s="1"/>
  <c r="A17" i="8" s="1"/>
  <c r="C12" i="8"/>
  <c r="C14" i="8" s="1"/>
  <c r="B27" i="8"/>
  <c r="B28" i="8"/>
  <c r="B29" i="8" s="1"/>
  <c r="B30" i="8" s="1"/>
  <c r="B31" i="8" s="1"/>
  <c r="D27" i="8"/>
  <c r="D28" i="8" s="1"/>
  <c r="D29" i="8" s="1"/>
  <c r="D30" i="8"/>
  <c r="D31" i="8"/>
  <c r="Q36" i="36"/>
  <c r="Q28" i="36"/>
  <c r="S36" i="36"/>
  <c r="T35" i="36"/>
  <c r="U34" i="36"/>
  <c r="U29" i="36"/>
  <c r="S27" i="36"/>
  <c r="S26" i="36"/>
  <c r="T24" i="36"/>
  <c r="U22" i="36"/>
  <c r="U21" i="36"/>
  <c r="U20" i="36"/>
  <c r="U19" i="36"/>
  <c r="U18" i="36"/>
  <c r="U17" i="36"/>
  <c r="U16" i="36"/>
  <c r="U15" i="36"/>
  <c r="U14" i="36"/>
  <c r="U5" i="36"/>
  <c r="S35" i="36"/>
  <c r="U33" i="36"/>
  <c r="S31" i="36"/>
  <c r="S30" i="36"/>
  <c r="U28" i="36"/>
  <c r="S25" i="36"/>
  <c r="S24" i="36"/>
  <c r="S23" i="36"/>
  <c r="T19" i="36"/>
  <c r="U13" i="36"/>
  <c r="U12" i="36"/>
  <c r="U11" i="36"/>
  <c r="U10" i="36"/>
  <c r="U9" i="36"/>
  <c r="U8" i="36"/>
  <c r="U7" i="36"/>
  <c r="U6" i="36"/>
  <c r="U36" i="36"/>
  <c r="S34" i="36"/>
  <c r="U32" i="36"/>
  <c r="S29" i="36"/>
  <c r="U27" i="36"/>
  <c r="U26" i="36"/>
  <c r="S22" i="36"/>
  <c r="S21" i="36"/>
  <c r="S20" i="36"/>
  <c r="S19" i="36"/>
  <c r="S18" i="36"/>
  <c r="S17" i="36"/>
  <c r="S16" i="36"/>
  <c r="S15" i="36"/>
  <c r="S14" i="36"/>
  <c r="T12" i="36"/>
  <c r="S5" i="36"/>
  <c r="T36" i="36"/>
  <c r="S33" i="36"/>
  <c r="U30" i="36"/>
  <c r="S28" i="36"/>
  <c r="U25" i="36"/>
  <c r="U24" i="36"/>
  <c r="S13" i="36"/>
  <c r="S12" i="36"/>
  <c r="S11" i="36"/>
  <c r="S10" i="36"/>
  <c r="S9" i="36"/>
  <c r="S8" i="36"/>
  <c r="S7" i="36"/>
  <c r="Q31" i="36"/>
  <c r="Q27" i="36"/>
  <c r="Q20" i="36"/>
  <c r="Q24" i="36"/>
  <c r="Q25" i="36"/>
  <c r="Q21" i="36"/>
  <c r="Q8" i="36"/>
  <c r="Q12" i="36"/>
  <c r="Q11" i="36"/>
  <c r="Q7" i="36"/>
  <c r="T36" i="40"/>
  <c r="U36" i="40"/>
  <c r="S34" i="40"/>
  <c r="T34" i="40"/>
  <c r="U34" i="40"/>
  <c r="M8" i="19"/>
  <c r="S31" i="40"/>
  <c r="T30" i="40"/>
  <c r="U30" i="40" s="1"/>
  <c r="F14" i="8" l="1"/>
  <c r="C16" i="8"/>
  <c r="F16" i="8" s="1"/>
  <c r="S38" i="40"/>
  <c r="T38" i="40"/>
  <c r="U38" i="40" s="1"/>
  <c r="T37" i="37"/>
  <c r="S37" i="37"/>
  <c r="V37" i="37"/>
  <c r="W37" i="37"/>
  <c r="R14" i="36"/>
  <c r="R10" i="36"/>
  <c r="R6" i="36"/>
  <c r="R26" i="36"/>
  <c r="R35" i="36"/>
  <c r="R31" i="36"/>
  <c r="R23" i="36"/>
  <c r="R21" i="36"/>
  <c r="R17" i="36"/>
  <c r="R33" i="36"/>
  <c r="R13" i="36"/>
  <c r="R9" i="36"/>
  <c r="R30" i="36"/>
  <c r="R34" i="36"/>
  <c r="R20" i="36"/>
  <c r="R16" i="36"/>
  <c r="R28" i="36"/>
  <c r="R8" i="36"/>
  <c r="R24" i="36"/>
  <c r="R19" i="36"/>
  <c r="R12" i="36"/>
  <c r="R32" i="36"/>
  <c r="R5" i="36"/>
  <c r="R15" i="36"/>
  <c r="R11" i="36"/>
  <c r="R36" i="36"/>
  <c r="R25" i="36"/>
  <c r="R29" i="36"/>
  <c r="R7" i="36"/>
  <c r="R18" i="36"/>
  <c r="R27" i="36"/>
  <c r="R22" i="36"/>
  <c r="T40" i="40"/>
  <c r="U40" i="40" s="1"/>
  <c r="S40" i="40"/>
  <c r="T39" i="40"/>
  <c r="U39" i="40" s="1"/>
  <c r="S39" i="40"/>
  <c r="S29" i="40"/>
  <c r="T29" i="40"/>
  <c r="U29" i="40" s="1"/>
  <c r="T26" i="36"/>
  <c r="T30" i="36"/>
  <c r="T34" i="36"/>
  <c r="T22" i="36"/>
  <c r="T18" i="36"/>
  <c r="T14" i="36"/>
  <c r="T11" i="36"/>
  <c r="T7" i="36"/>
  <c r="T27" i="36"/>
  <c r="T5" i="36"/>
  <c r="T25" i="36"/>
  <c r="T29" i="36"/>
  <c r="T21" i="36"/>
  <c r="T17" i="36"/>
  <c r="T10" i="36"/>
  <c r="T6" i="36"/>
  <c r="M30" i="37"/>
  <c r="I30" i="37"/>
  <c r="O30" i="37" s="1"/>
  <c r="H39" i="37"/>
  <c r="N39" i="37" s="1"/>
  <c r="N34" i="37"/>
  <c r="Q16" i="36"/>
  <c r="Q26" i="36"/>
  <c r="Q33" i="36"/>
  <c r="Q34" i="36"/>
  <c r="Q23" i="36"/>
  <c r="Q32" i="36"/>
  <c r="Q5" i="36"/>
  <c r="E28" i="41"/>
  <c r="F28" i="41"/>
  <c r="E26" i="41"/>
  <c r="F26" i="41"/>
  <c r="E24" i="41"/>
  <c r="F24" i="41"/>
  <c r="E22" i="41"/>
  <c r="F22" i="41"/>
  <c r="E20" i="41"/>
  <c r="F20" i="41"/>
  <c r="E18" i="41"/>
  <c r="F18" i="41"/>
  <c r="E16" i="41"/>
  <c r="F16" i="41"/>
  <c r="E14" i="41"/>
  <c r="F14" i="41"/>
  <c r="E12" i="41"/>
  <c r="F12" i="41"/>
  <c r="E10" i="41"/>
  <c r="F10" i="41"/>
  <c r="G23" i="25"/>
  <c r="G29" i="25" s="1"/>
  <c r="F23" i="25"/>
  <c r="F29" i="25" s="1"/>
  <c r="I31" i="37"/>
  <c r="O31" i="37" s="1"/>
  <c r="M31" i="37"/>
  <c r="G39" i="37"/>
  <c r="M39" i="37" s="1"/>
  <c r="N33" i="37"/>
  <c r="T41" i="40"/>
  <c r="U41" i="40" s="1"/>
  <c r="Q15" i="36"/>
  <c r="Q13" i="36"/>
  <c r="Q9" i="36"/>
  <c r="Q10" i="36"/>
  <c r="T32" i="36"/>
  <c r="T8" i="36"/>
  <c r="T33" i="36"/>
  <c r="T15" i="36"/>
  <c r="Q29" i="36"/>
  <c r="Q35" i="36"/>
  <c r="P2" i="36"/>
  <c r="T33" i="40"/>
  <c r="U33" i="40" s="1"/>
  <c r="R36" i="37"/>
  <c r="R33" i="37"/>
  <c r="U33" i="37"/>
  <c r="T13" i="36"/>
  <c r="T20" i="36"/>
  <c r="T31" i="36"/>
  <c r="Q6" i="36"/>
  <c r="Q19" i="36"/>
  <c r="Q17" i="36"/>
  <c r="Q18" i="36"/>
  <c r="Q22" i="36"/>
  <c r="T9" i="36"/>
  <c r="T28" i="36"/>
  <c r="T16" i="36"/>
  <c r="T23" i="36"/>
  <c r="Q14" i="36"/>
  <c r="Q30" i="36"/>
  <c r="K21" i="23"/>
  <c r="L5" i="19"/>
  <c r="D48" i="40"/>
  <c r="E48" i="40" s="1"/>
  <c r="E29" i="41"/>
  <c r="F29" i="41"/>
  <c r="E27" i="41"/>
  <c r="F27" i="41"/>
  <c r="E25" i="41"/>
  <c r="F25" i="41"/>
  <c r="E23" i="41"/>
  <c r="F23" i="41"/>
  <c r="E21" i="41"/>
  <c r="F21" i="41"/>
  <c r="E19" i="41"/>
  <c r="F19" i="41"/>
  <c r="E17" i="41"/>
  <c r="F17" i="41"/>
  <c r="E15" i="41"/>
  <c r="F15" i="41"/>
  <c r="E13" i="41"/>
  <c r="F13" i="41"/>
  <c r="E11" i="41"/>
  <c r="F11" i="41"/>
  <c r="E9" i="41"/>
  <c r="F9" i="41"/>
  <c r="G25" i="25"/>
  <c r="F25" i="25"/>
  <c r="Z37" i="37"/>
  <c r="Y37" i="37"/>
  <c r="AB31" i="37"/>
  <c r="S34" i="37"/>
  <c r="W34" i="37"/>
  <c r="V34" i="37"/>
  <c r="T31" i="37" l="1"/>
  <c r="W31" i="37"/>
  <c r="V31" i="37"/>
  <c r="S31" i="37"/>
  <c r="Z39" i="37"/>
  <c r="Y39" i="37"/>
  <c r="AA39" i="37"/>
  <c r="X39" i="37"/>
  <c r="AB39" i="37"/>
  <c r="AC39" i="37"/>
  <c r="U42" i="40"/>
  <c r="S39" i="37"/>
  <c r="W39" i="37"/>
  <c r="T39" i="37"/>
  <c r="R39" i="37"/>
  <c r="U39" i="37"/>
  <c r="V39" i="37"/>
  <c r="Y34" i="37"/>
  <c r="AC34" i="37"/>
  <c r="AB34" i="37"/>
  <c r="Z34" i="37"/>
  <c r="P7" i="36"/>
  <c r="P23" i="36"/>
  <c r="P16" i="36"/>
  <c r="P30" i="36"/>
  <c r="P5" i="36"/>
  <c r="P21" i="36"/>
  <c r="P14" i="36"/>
  <c r="P29" i="36"/>
  <c r="P24" i="36"/>
  <c r="P6" i="36"/>
  <c r="P33" i="36"/>
  <c r="P19" i="36"/>
  <c r="P28" i="36"/>
  <c r="P17" i="36"/>
  <c r="P26" i="36"/>
  <c r="P11" i="36"/>
  <c r="P27" i="36"/>
  <c r="P20" i="36"/>
  <c r="P32" i="36"/>
  <c r="P9" i="36"/>
  <c r="P25" i="36"/>
  <c r="P18" i="36"/>
  <c r="P31" i="36"/>
  <c r="P15" i="36"/>
  <c r="P8" i="36"/>
  <c r="P34" i="36"/>
  <c r="P13" i="36"/>
  <c r="P22" i="36"/>
  <c r="P12" i="36"/>
  <c r="P36" i="36"/>
  <c r="P10" i="36"/>
  <c r="P35" i="36"/>
  <c r="X33" i="37"/>
  <c r="AA33" i="37"/>
  <c r="U30" i="37"/>
  <c r="R30" i="37"/>
</calcChain>
</file>

<file path=xl/comments1.xml><?xml version="1.0" encoding="utf-8"?>
<comments xmlns="http://schemas.openxmlformats.org/spreadsheetml/2006/main">
  <authors>
    <author>Felicitas Suckow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Felicitas Suckow:</t>
        </r>
        <r>
          <rPr>
            <sz val="8"/>
            <color indexed="81"/>
            <rFont val="Tahoma"/>
            <family val="2"/>
          </rPr>
          <t xml:space="preserve">
Stape, J.L., Binkley, D., and Ryan, M.G. 2008. Production and carbon allocation in a clonal Eucalyptus plantation with water and nutrient manipulations. Forest Ecology And Management 255(3–4): 920-930.
</t>
        </r>
      </text>
    </comment>
  </commentList>
</comments>
</file>

<file path=xl/sharedStrings.xml><?xml version="1.0" encoding="utf-8"?>
<sst xmlns="http://schemas.openxmlformats.org/spreadsheetml/2006/main" count="2168" uniqueCount="1056">
  <si>
    <t>respiration rates normalized to 30°C using a Q10 of 2.2</t>
  </si>
  <si>
    <t>measured respiration rates</t>
  </si>
  <si>
    <t>root diameter class (mm)</t>
  </si>
  <si>
    <t>µ(nmol/(g*s))</t>
  </si>
  <si>
    <t>σ</t>
  </si>
  <si>
    <t>n</t>
  </si>
  <si>
    <t>0 bis 2</t>
  </si>
  <si>
    <t>2 bis 5</t>
  </si>
  <si>
    <t>5 bis 10</t>
  </si>
  <si>
    <t>&gt;10</t>
  </si>
  <si>
    <r>
      <t>Sands, P. J.; Landsberg, J. J. (2002): Parameterisation of 3-PG for plantation grown</t>
    </r>
    <r>
      <rPr>
        <b/>
        <sz val="10"/>
        <rFont val="Arial"/>
        <family val="2"/>
      </rPr>
      <t xml:space="preserve"> Eucalyptus globulus</t>
    </r>
    <r>
      <rPr>
        <sz val="10"/>
        <rFont val="Arial"/>
        <family val="2"/>
      </rPr>
      <t>. In: Forest Ecology and Management 163 (1–3), S. 273–292.</t>
    </r>
  </si>
  <si>
    <r>
      <t>Maximum</t>
    </r>
    <r>
      <rPr>
        <sz val="10"/>
        <rFont val="Arial"/>
        <family val="2"/>
      </rPr>
      <t xml:space="preserve"> litterfall rate</t>
    </r>
  </si>
  <si>
    <t>per month</t>
  </si>
  <si>
    <t>per year</t>
  </si>
  <si>
    <t>Litterfall rate for very young stands</t>
  </si>
  <si>
    <t>Battaglia et al (2004): CABALA: a linked carbon, water and nitrogen model of forest growth for silvicultural decision support</t>
  </si>
  <si>
    <r>
      <t xml:space="preserve">E. globulus </t>
    </r>
    <r>
      <rPr>
        <sz val="10"/>
        <rFont val="Arial"/>
        <family val="2"/>
      </rPr>
      <t>(Australien)</t>
    </r>
  </si>
  <si>
    <t>Reciprocal of maximum foliage longevity</t>
  </si>
  <si>
    <t>&gt; alle 3 Jahre</t>
  </si>
  <si>
    <r>
      <t xml:space="preserve">Almeida et al. (2004): </t>
    </r>
    <r>
      <rPr>
        <sz val="10"/>
        <rFont val="Arial"/>
        <family val="2"/>
      </rPr>
      <t xml:space="preserve">Parameterisation of 3-PG model for fast-growing Eucalyptus </t>
    </r>
    <r>
      <rPr>
        <b/>
        <sz val="10"/>
        <rFont val="Arial"/>
        <family val="2"/>
      </rPr>
      <t>grandis</t>
    </r>
    <r>
      <rPr>
        <sz val="10"/>
        <rFont val="Arial"/>
        <family val="2"/>
      </rPr>
      <t xml:space="preserve"> plantations</t>
    </r>
  </si>
  <si>
    <t>see Table 3; age at which litterfall rate has median value: 13 month</t>
  </si>
  <si>
    <r>
      <t>maximum</t>
    </r>
    <r>
      <rPr>
        <sz val="10"/>
        <rFont val="Arial"/>
        <family val="2"/>
      </rPr>
      <t xml:space="preserve"> litterfall rate</t>
    </r>
  </si>
  <si>
    <t>1/month</t>
  </si>
  <si>
    <t>Standort</t>
  </si>
  <si>
    <t>brasilian. Atlantikküste</t>
  </si>
  <si>
    <r>
      <t xml:space="preserve">litterfall rate at </t>
    </r>
    <r>
      <rPr>
        <b/>
        <sz val="10"/>
        <rFont val="Arial"/>
        <family val="2"/>
      </rPr>
      <t>t=0</t>
    </r>
  </si>
  <si>
    <t>Dye et al. (2004)</t>
  </si>
  <si>
    <r>
      <t>E. grandis x camaldulensis</t>
    </r>
    <r>
      <rPr>
        <sz val="10"/>
        <rFont val="Arial"/>
        <family val="2"/>
      </rPr>
      <t xml:space="preserve"> (Zululand, Südafrika)</t>
    </r>
  </si>
  <si>
    <t>annual leaf turnover rate</t>
  </si>
  <si>
    <t>(Mittelwert während Untersuchungen)</t>
  </si>
  <si>
    <t>Ranatunga (2008) Effects of harvest management practices on forest biomass and soil carbon in eucalypt forests in New South Wales, Australia: Simulations with the forest succession model LINKAGES</t>
  </si>
  <si>
    <r>
      <t xml:space="preserve">for </t>
    </r>
    <r>
      <rPr>
        <b/>
        <sz val="10"/>
        <rFont val="Arial"/>
        <family val="2"/>
      </rPr>
      <t>E. pilularis, intermedia, microcorys, salinga</t>
    </r>
  </si>
  <si>
    <t xml:space="preserve">foliage retention time </t>
  </si>
  <si>
    <t>Polglase et al. (2004)</t>
  </si>
  <si>
    <t>E. globulus (Modell FullCAM)</t>
  </si>
  <si>
    <t>turnover of foliage</t>
  </si>
  <si>
    <t>1/year</t>
  </si>
  <si>
    <t>&gt; alle 2 Jahre</t>
  </si>
  <si>
    <t>turnover of woody tissue</t>
  </si>
  <si>
    <t>/yr</t>
  </si>
  <si>
    <r>
      <t xml:space="preserve">Sands, P. J.; Landsberg, J. J. (2002): Parameterisation of </t>
    </r>
    <r>
      <rPr>
        <b/>
        <sz val="10"/>
        <rFont val="Arial"/>
        <family val="2"/>
      </rPr>
      <t>3-PG</t>
    </r>
    <r>
      <rPr>
        <sz val="10"/>
        <rFont val="Arial"/>
        <family val="2"/>
      </rPr>
      <t xml:space="preserve"> for plantation grown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>. In: Forest Ecology and Management 163 (1–3), S. 273–292.</t>
    </r>
  </si>
  <si>
    <t>Average monthly root turnover rate</t>
  </si>
  <si>
    <r>
      <t>Almeida et al. (2004): Parameterisation of</t>
    </r>
    <r>
      <rPr>
        <b/>
        <sz val="10"/>
        <rFont val="Arial"/>
        <family val="2"/>
      </rPr>
      <t xml:space="preserve"> 3-PG</t>
    </r>
    <r>
      <rPr>
        <sz val="10"/>
        <rFont val="Arial"/>
        <family val="2"/>
      </rPr>
      <t xml:space="preserve"> model for fast-growing </t>
    </r>
    <r>
      <rPr>
        <b/>
        <sz val="10"/>
        <rFont val="Arial"/>
        <family val="2"/>
      </rPr>
      <t>Eucalyptus grandis</t>
    </r>
    <r>
      <rPr>
        <sz val="10"/>
        <rFont val="Arial"/>
        <family val="2"/>
      </rPr>
      <t xml:space="preserve"> plantations</t>
    </r>
  </si>
  <si>
    <t>see Table 3</t>
  </si>
  <si>
    <t>parametrization of E. Delegatensis for model CenW</t>
  </si>
  <si>
    <t>Fine-root turn-over</t>
  </si>
  <si>
    <t>forest with predominantly E. delegatensis</t>
  </si>
  <si>
    <t>fine root turnover time</t>
  </si>
  <si>
    <r>
      <t xml:space="preserve">Battaglia et al. (2004): </t>
    </r>
    <r>
      <rPr>
        <b/>
        <sz val="10"/>
        <rFont val="Arial"/>
        <family val="2"/>
      </rPr>
      <t>CABALA</t>
    </r>
    <r>
      <rPr>
        <sz val="10"/>
        <rFont val="Arial"/>
        <family val="2"/>
      </rPr>
      <t>: a linked carbon, water and nitrogen model of forest growth for silvicultural decision support. In Forest Ecology and Management 193 (2004) 251–282</t>
    </r>
  </si>
  <si>
    <t>Reciprocal of maximum fine root longevity</t>
  </si>
  <si>
    <t>Turnover of fine roots</t>
  </si>
  <si>
    <t>fine root mortality rate</t>
  </si>
  <si>
    <r>
      <t>Birk and Turner 1992, Response of flooded gum (</t>
    </r>
    <r>
      <rPr>
        <b/>
        <sz val="10"/>
        <rFont val="Arial"/>
        <family val="2"/>
      </rPr>
      <t>E. grandis</t>
    </r>
    <r>
      <rPr>
        <sz val="10"/>
        <rFont val="Arial"/>
        <family val="2"/>
      </rPr>
      <t>) to intensive cultural treatments: biomass and nutrient content of eucalypt plantations and native forests</t>
    </r>
  </si>
  <si>
    <t>see Table 5 (page 10)</t>
  </si>
  <si>
    <r>
      <t>Hunter (2001): Above ground biomass and nutrient uptake of three tree species (</t>
    </r>
    <r>
      <rPr>
        <b/>
        <sz val="10"/>
        <rFont val="Arial"/>
        <family val="2"/>
      </rPr>
      <t>Eucalyptus camaldulensis, Eucalyptus grandis and Dalbergia sissoo</t>
    </r>
    <r>
      <rPr>
        <sz val="10"/>
        <rFont val="Arial"/>
        <family val="2"/>
      </rPr>
      <t>) as affected by irrigation and fertiliser, at 3 years of age, in southern India</t>
    </r>
  </si>
  <si>
    <t>see tables: dry weight of biomass components and N, P, K contents of biomass components for different irrigation and fertiliser treatments</t>
  </si>
  <si>
    <r>
      <t xml:space="preserve">Ranatunga (2008): Effects of harvest management practices on forest biomass and soil carbon in eucalypt forests in New South Wales, Australia: Simulations with the forest succession model </t>
    </r>
    <r>
      <rPr>
        <b/>
        <sz val="10"/>
        <rFont val="Arial"/>
        <family val="2"/>
      </rPr>
      <t>LINKAGES</t>
    </r>
  </si>
  <si>
    <t>C:N ratio of decomposable plant matter</t>
  </si>
  <si>
    <t>N:C</t>
  </si>
  <si>
    <t>Ranatunga (2008)</t>
  </si>
  <si>
    <t>C:N ratio of resistant plant material</t>
  </si>
  <si>
    <t>C:N ratio of roots</t>
  </si>
  <si>
    <r>
      <t xml:space="preserve">Garay (2004): Evaluation of soil conditions in fast-growing plantations of </t>
    </r>
    <r>
      <rPr>
        <b/>
        <sz val="10"/>
        <rFont val="Arial"/>
        <family val="2"/>
      </rPr>
      <t>Eucalyptus grandis</t>
    </r>
    <r>
      <rPr>
        <sz val="10"/>
        <rFont val="Arial"/>
        <family val="2"/>
      </rPr>
      <t xml:space="preserve"> and Acacia mangium in Brazil: a contribution to the study of sustainable land use</t>
    </r>
  </si>
  <si>
    <t>C/N (E. grandis)</t>
  </si>
  <si>
    <t>fragmented leaves</t>
  </si>
  <si>
    <t>fine fraction</t>
  </si>
  <si>
    <r>
      <t xml:space="preserve">Marsden (2013): </t>
    </r>
    <r>
      <rPr>
        <b/>
        <sz val="10"/>
        <rFont val="Arial"/>
        <family val="2"/>
      </rPr>
      <t>E. grandis</t>
    </r>
  </si>
  <si>
    <t>N/C ratio</t>
  </si>
  <si>
    <t>of new branch</t>
  </si>
  <si>
    <t>heartwood</t>
  </si>
  <si>
    <t>of sapwood</t>
  </si>
  <si>
    <t>max. value of N/C of fine roots in conditions of good nitrogen nutrition</t>
  </si>
  <si>
    <t>Faria et al. (1998): Differences in the response of carbon assimilation to summer stress (water deficits, high light and temperature) in four Mediterranean tree species</t>
  </si>
  <si>
    <r>
      <t xml:space="preserve">Tab. 3 (Physiological and morphological characterization, of </t>
    </r>
    <r>
      <rPr>
        <b/>
        <sz val="10"/>
        <rFont val="Arial"/>
        <family val="2"/>
      </rPr>
      <t>sun leaves</t>
    </r>
    <r>
      <rPr>
        <sz val="10"/>
        <rFont val="Arial"/>
        <family val="2"/>
      </rPr>
      <t>)</t>
    </r>
  </si>
  <si>
    <t xml:space="preserve">July </t>
  </si>
  <si>
    <t>stand. error</t>
  </si>
  <si>
    <t>Sept.</t>
  </si>
  <si>
    <t>C conc. (% dry weight)</t>
  </si>
  <si>
    <t>(+-0,9)</t>
  </si>
  <si>
    <t>N conc. (% dry weight)</t>
  </si>
  <si>
    <t>(+-0,01)</t>
  </si>
  <si>
    <t>(+-0,04)</t>
  </si>
  <si>
    <t xml:space="preserve">Reference </t>
  </si>
  <si>
    <r>
      <t xml:space="preserve">Silva et al. (2013): Fertilizer management of </t>
    </r>
    <r>
      <rPr>
        <b/>
        <sz val="10"/>
        <rFont val="Arial"/>
        <family val="2"/>
      </rPr>
      <t>eucalypt</t>
    </r>
    <r>
      <rPr>
        <sz val="10"/>
        <rFont val="Arial"/>
        <family val="2"/>
      </rPr>
      <t xml:space="preserve"> plantations on </t>
    </r>
    <r>
      <rPr>
        <b/>
        <sz val="10"/>
        <rFont val="Arial"/>
        <family val="2"/>
      </rPr>
      <t>sandy soil in Brazil</t>
    </r>
    <r>
      <rPr>
        <sz val="10"/>
        <rFont val="Arial"/>
        <family val="2"/>
      </rPr>
      <t>: Initial growth and nutrient cycling</t>
    </r>
  </si>
  <si>
    <t xml:space="preserve">mean retranslocation efficiency </t>
  </si>
  <si>
    <r>
      <t>in litter fall</t>
    </r>
    <r>
      <rPr>
        <sz val="10"/>
        <rFont val="Arial"/>
        <family val="2"/>
      </rPr>
      <t xml:space="preserve"> from 12 to 24 months after planting (Table 7)</t>
    </r>
  </si>
  <si>
    <t>Values</t>
  </si>
  <si>
    <t>67-74</t>
  </si>
  <si>
    <t>%</t>
  </si>
  <si>
    <t>0,67-0,74</t>
  </si>
  <si>
    <r>
      <t xml:space="preserve">Wendler et al. (1995): Role of nitrogen remobilization from old leaves for new leaf growth of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 xml:space="preserve"> seedlings</t>
    </r>
  </si>
  <si>
    <t>net loss of N from old leaves compared to N content of new leaves</t>
  </si>
  <si>
    <t>High N treatment</t>
  </si>
  <si>
    <t>Low N treatment</t>
  </si>
  <si>
    <t>42-44</t>
  </si>
  <si>
    <t>0,42-0,44</t>
  </si>
  <si>
    <r>
      <t>Saur (2000) : Foliar nutrient retranslocation in</t>
    </r>
    <r>
      <rPr>
        <b/>
        <sz val="10"/>
        <rFont val="Arial"/>
        <family val="2"/>
      </rPr>
      <t xml:space="preserve"> E. globulus</t>
    </r>
  </si>
  <si>
    <t>(nitrogen) Retranslocation of shaded leaves</t>
  </si>
  <si>
    <t>Age of leaves</t>
  </si>
  <si>
    <t>mon</t>
  </si>
  <si>
    <t>31+/- 7,5</t>
  </si>
  <si>
    <t>51+/-6,1</t>
  </si>
  <si>
    <t>0,31+/- 0,075</t>
  </si>
  <si>
    <t>0,51 +/- 0,061</t>
  </si>
  <si>
    <t>Fraction of foliage nitrogen retranslocated before leaf is lost</t>
  </si>
  <si>
    <t>Marsden (2013)</t>
  </si>
  <si>
    <t>Fraction of N retranslocated from leaves</t>
  </si>
  <si>
    <t>Pate and Arthur (2000) Uptake, partitioning and utilization of carbon and nitrogen in the phloem bleeding tree, Tasmanian blue gum (Eucalyptus globulus). Aust. J. Plant Physiol. 27, 869–884.</t>
  </si>
  <si>
    <r>
      <t xml:space="preserve">used for </t>
    </r>
    <r>
      <rPr>
        <b/>
        <i/>
        <sz val="10"/>
        <rFont val="Arial"/>
        <family val="2"/>
      </rPr>
      <t>MOBILE-PDT</t>
    </r>
  </si>
  <si>
    <t>Fraction of assimilate allocated to roots</t>
  </si>
  <si>
    <t>Fraction of N retranslocated from fine roots</t>
  </si>
  <si>
    <t>Quelle?</t>
  </si>
  <si>
    <t>Baumart?</t>
  </si>
  <si>
    <t>biomass</t>
  </si>
  <si>
    <t>sum medium and large roots</t>
  </si>
  <si>
    <t>N</t>
  </si>
  <si>
    <t>sum N medium and large roots</t>
  </si>
  <si>
    <t>biomass (g)</t>
  </si>
  <si>
    <t>N (mg)</t>
  </si>
  <si>
    <t>Ncon (N/biomass)</t>
  </si>
  <si>
    <t>Ncon  large and medium roots</t>
  </si>
  <si>
    <t>needle ?</t>
  </si>
  <si>
    <t>branches</t>
  </si>
  <si>
    <t>stem</t>
  </si>
  <si>
    <t>large roots &gt;4cm)</t>
  </si>
  <si>
    <t>medium roots (1-4cm)</t>
  </si>
  <si>
    <t>fine roots (&lt;1cm)</t>
  </si>
  <si>
    <t xml:space="preserve">Cernusak et al. (2011): Photosynthetic physiology of eucalypts along a sub-continental rainfall gradient in northern Australia. </t>
  </si>
  <si>
    <t>concentration of N [mg] in dried leafs [g] for different species under different rainfall conditions</t>
  </si>
  <si>
    <t>see Fig. 2B</t>
  </si>
  <si>
    <t>6 – 11 mg/g</t>
  </si>
  <si>
    <t>Turner and Lambert (1983): NUTRIENT CYCLING WITHIN A 27-YEAR-OLD' EUCALYPTUS GRANDIS PLANTATION IN NEW SOUTH WALES</t>
  </si>
  <si>
    <t>notes</t>
  </si>
  <si>
    <r>
      <t xml:space="preserve">27 year old </t>
    </r>
    <r>
      <rPr>
        <b/>
        <sz val="10"/>
        <rFont val="Arial"/>
        <family val="2"/>
      </rPr>
      <t>E. Grandis</t>
    </r>
    <r>
      <rPr>
        <sz val="10"/>
        <rFont val="Arial"/>
        <family val="2"/>
      </rPr>
      <t xml:space="preserve"> trees; contains some further information than listed here (e.g. biomass content and increments)</t>
    </r>
  </si>
  <si>
    <t>values</t>
  </si>
  <si>
    <t>from table 1</t>
  </si>
  <si>
    <t>component</t>
  </si>
  <si>
    <t>N conc. [%]</t>
  </si>
  <si>
    <t>sd</t>
  </si>
  <si>
    <t>mg/g</t>
  </si>
  <si>
    <t>foliage</t>
  </si>
  <si>
    <t>branch</t>
  </si>
  <si>
    <t>bark</t>
  </si>
  <si>
    <t>sapwood</t>
  </si>
  <si>
    <t>from table 3</t>
  </si>
  <si>
    <r>
      <t>N content</t>
    </r>
    <r>
      <rPr>
        <b/>
        <sz val="10"/>
        <rFont val="Arial"/>
        <family val="2"/>
      </rPr>
      <t xml:space="preserve"> [kg ha-1]</t>
    </r>
  </si>
  <si>
    <t>total tree</t>
  </si>
  <si>
    <r>
      <t xml:space="preserve">parametrization of </t>
    </r>
    <r>
      <rPr>
        <b/>
        <i/>
        <sz val="10"/>
        <rFont val="Arial"/>
        <family val="2"/>
      </rPr>
      <t>E. Delegatensis</t>
    </r>
    <r>
      <rPr>
        <i/>
        <sz val="10"/>
        <rFont val="Arial"/>
        <family val="2"/>
      </rPr>
      <t xml:space="preserve"> for </t>
    </r>
    <r>
      <rPr>
        <b/>
        <i/>
        <sz val="10"/>
        <rFont val="Arial"/>
        <family val="2"/>
      </rPr>
      <t>model CenW</t>
    </r>
  </si>
  <si>
    <t>Threshold N concentrations</t>
  </si>
  <si>
    <t>Non-limiting N concentration</t>
  </si>
  <si>
    <t>gN / kg DW (mg/g)</t>
  </si>
  <si>
    <t>gN / kg DW</t>
  </si>
  <si>
    <r>
      <t>MoBiLE-PDT</t>
    </r>
    <r>
      <rPr>
        <sz val="10"/>
        <rFont val="Arial"/>
        <family val="2"/>
      </rPr>
      <t xml:space="preserve"> for </t>
    </r>
    <r>
      <rPr>
        <b/>
        <sz val="10"/>
        <rFont val="Arial"/>
        <family val="2"/>
      </rPr>
      <t>E. globulus</t>
    </r>
    <r>
      <rPr>
        <sz val="10"/>
        <rFont val="Arial"/>
        <family val="2"/>
      </rPr>
      <t xml:space="preserve"> </t>
    </r>
  </si>
  <si>
    <t>Optimum foliage N concentration</t>
  </si>
  <si>
    <t xml:space="preserve">kg N / kg DW </t>
  </si>
  <si>
    <r>
      <t xml:space="preserve">Ranatunga et al. (2008): Effects of harvest management practices on forest biomass and soil carbon in Eucalypt forests in New South Wales, Australia: Simulations with the forest succession model </t>
    </r>
    <r>
      <rPr>
        <b/>
        <sz val="10"/>
        <rFont val="Arial"/>
        <family val="2"/>
      </rPr>
      <t>LINKAGES</t>
    </r>
    <r>
      <rPr>
        <sz val="10"/>
        <rFont val="Arial"/>
        <family val="2"/>
      </rPr>
      <t>. Forest Ecology and Management 255 (2008) 2407–2415</t>
    </r>
  </si>
  <si>
    <t>vgl. Appendix A (decomposition parameters):</t>
  </si>
  <si>
    <t>Initial fraction of N (leaves)</t>
  </si>
  <si>
    <t>no</t>
  </si>
  <si>
    <t xml:space="preserve">Turner (1980): Nitrogen and Phosphorous Distributions in Naturally Regenerated Eucalyptus spp. and Planted Douglas-fir </t>
  </si>
  <si>
    <t>Whitehead and Beadle (2004): Physiological regulation of productivity and water use in Eucalyptus: a review</t>
  </si>
  <si>
    <t>leaf nitrogen concentration</t>
  </si>
  <si>
    <t xml:space="preserve">E. regnans </t>
  </si>
  <si>
    <t>Mean</t>
  </si>
  <si>
    <t>0,87-1,34 (1,03)</t>
  </si>
  <si>
    <t>mmol/g</t>
  </si>
  <si>
    <t>Miehle (2006), aus Resh (2003)</t>
  </si>
  <si>
    <t>foliage nitrogen concentration by weight</t>
  </si>
  <si>
    <t>Größenordnung v. Corbeels (2005b) u. Ranatunga (2008)</t>
  </si>
  <si>
    <t>Table 5 (page 10)</t>
  </si>
  <si>
    <r>
      <t>Optimum fine root N</t>
    </r>
    <r>
      <rPr>
        <b/>
        <sz val="10"/>
        <rFont val="Arial"/>
        <family val="2"/>
      </rPr>
      <t xml:space="preserve"> concentration</t>
    </r>
  </si>
  <si>
    <t>Resh et al. (2003) Coarse root biomass for eucalypt plantations in Tasmania, Australia: sources of variation and methods for assessment. Trees 17, 389–399.</t>
  </si>
  <si>
    <r>
      <t xml:space="preserve">in Battaglia (2004), Modell </t>
    </r>
    <r>
      <rPr>
        <b/>
        <sz val="10"/>
        <rFont val="Arial"/>
        <family val="2"/>
      </rPr>
      <t>CABALA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E. globulus</t>
    </r>
  </si>
  <si>
    <r>
      <t>average fine root nitrogen</t>
    </r>
    <r>
      <rPr>
        <b/>
        <sz val="10"/>
        <rFont val="Arial"/>
        <family val="2"/>
      </rPr>
      <t xml:space="preserve"> allocation</t>
    </r>
  </si>
  <si>
    <t>g N / g DW</t>
  </si>
  <si>
    <t>vgl. Appendix A</t>
  </si>
  <si>
    <r>
      <t xml:space="preserve">Initial fraction of N </t>
    </r>
    <r>
      <rPr>
        <b/>
        <sz val="10"/>
        <rFont val="Arial"/>
        <family val="2"/>
      </rPr>
      <t>(roots</t>
    </r>
    <r>
      <rPr>
        <sz val="10"/>
        <rFont val="Arial"/>
        <family val="2"/>
      </rPr>
      <t>)</t>
    </r>
  </si>
  <si>
    <t>g/g</t>
  </si>
  <si>
    <r>
      <t>average coarse root nitrogen</t>
    </r>
    <r>
      <rPr>
        <b/>
        <sz val="10"/>
        <rFont val="Arial"/>
        <family val="2"/>
      </rPr>
      <t xml:space="preserve"> allocation</t>
    </r>
  </si>
  <si>
    <t>mg/g TM</t>
  </si>
  <si>
    <r>
      <t>Initial fraction of N (</t>
    </r>
    <r>
      <rPr>
        <b/>
        <sz val="10"/>
        <rFont val="Arial"/>
        <family val="2"/>
      </rPr>
      <t>roots</t>
    </r>
    <r>
      <rPr>
        <sz val="10"/>
        <rFont val="Arial"/>
        <family val="2"/>
      </rPr>
      <t>)</t>
    </r>
  </si>
  <si>
    <r>
      <t xml:space="preserve">in Battaglia (2004), Modell </t>
    </r>
    <r>
      <rPr>
        <b/>
        <sz val="10"/>
        <rFont val="Arial"/>
        <family val="2"/>
      </rPr>
      <t>CABALA, E. globulus</t>
    </r>
  </si>
  <si>
    <r>
      <t xml:space="preserve">average </t>
    </r>
    <r>
      <rPr>
        <b/>
        <sz val="10"/>
        <rFont val="Arial"/>
        <family val="2"/>
      </rPr>
      <t>branch</t>
    </r>
    <r>
      <rPr>
        <sz val="10"/>
        <rFont val="Arial"/>
        <family val="2"/>
      </rPr>
      <t xml:space="preserve"> nitrogen</t>
    </r>
    <r>
      <rPr>
        <b/>
        <sz val="10"/>
        <rFont val="Arial"/>
        <family val="2"/>
      </rPr>
      <t xml:space="preserve"> allocation, für Ncon_tbc</t>
    </r>
  </si>
  <si>
    <r>
      <t>Initial fraction of N (</t>
    </r>
    <r>
      <rPr>
        <b/>
        <sz val="10"/>
        <rFont val="Arial"/>
        <family val="2"/>
      </rPr>
      <t>twigs</t>
    </r>
    <r>
      <rPr>
        <sz val="10"/>
        <rFont val="Arial"/>
        <family val="2"/>
      </rPr>
      <t>)</t>
    </r>
  </si>
  <si>
    <t>3,8 mg/g</t>
  </si>
  <si>
    <t>N conc.</t>
  </si>
  <si>
    <t>N content [kg ha-1]</t>
  </si>
  <si>
    <r>
      <t>average</t>
    </r>
    <r>
      <rPr>
        <b/>
        <sz val="10"/>
        <rFont val="Arial"/>
        <family val="2"/>
      </rPr>
      <t xml:space="preserve"> stem sapwood </t>
    </r>
    <r>
      <rPr>
        <sz val="10"/>
        <rFont val="Arial"/>
        <family val="2"/>
      </rPr>
      <t>nitrogen</t>
    </r>
    <r>
      <rPr>
        <b/>
        <sz val="10"/>
        <rFont val="Arial"/>
        <family val="2"/>
      </rPr>
      <t xml:space="preserve"> allocation, für Ncon_stem?</t>
    </r>
  </si>
  <si>
    <t>Initial fraction of N (fresh wood)</t>
  </si>
  <si>
    <t>Silva et al. (2013): Fertilizer management of eucalypt plantations on sandy soil in Brazil: Initial growth and nutrient cycling</t>
  </si>
  <si>
    <t>Table 4</t>
  </si>
  <si>
    <t>N concentration of stemwood</t>
  </si>
  <si>
    <t>g N/kg</t>
  </si>
  <si>
    <t>mg N/g</t>
  </si>
  <si>
    <t>N conc. [mg/g]</t>
  </si>
  <si>
    <r>
      <t xml:space="preserve">Sands, P. J.; Landsberg, J. J. (2002): Parameterisation of 3-PG for plantation grown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>. In: Forest Ecology and Management 163 (1–3), S. 273–292.</t>
    </r>
  </si>
  <si>
    <t>Ratio of foliage:stem partitioning at B = 2 cm</t>
  </si>
  <si>
    <t>Ratio of foliage:stem partitioning at B = 20 cm</t>
  </si>
  <si>
    <t>Ratio of carbohydrate allocation to foliage and stems at diameter at breast height 2 cm</t>
  </si>
  <si>
    <t>Ratio of carbohydrate allocation to foliage and stems at diameter at breast height 20 cm</t>
  </si>
  <si>
    <r>
      <t xml:space="preserve">Fabião, A., Madeira, M., Steen, E., Katterer, T., Ribeiro, C., Araújo, C. (1995): Development Of Root Biomass In An </t>
    </r>
    <r>
      <rPr>
        <b/>
        <sz val="10"/>
        <rFont val="Arial"/>
        <family val="2"/>
      </rPr>
      <t>Eucalyptus-Globulus</t>
    </r>
    <r>
      <rPr>
        <sz val="10"/>
        <rFont val="Arial"/>
        <family val="2"/>
      </rPr>
      <t xml:space="preserve"> Plantation Under Different Water And Nutrient Regimes. Plant Soil 168, 215-223.</t>
    </r>
  </si>
  <si>
    <t>Standort: Portugal</t>
  </si>
  <si>
    <t>Table 3. Average above-ground total (abgt), below-ground total (blgt) and partitioning of root biomass in the treatments and in the control</t>
  </si>
  <si>
    <t>6 years after planting. Units and treatments are the same as in Table 2. Values of above-ground biomass were not significantly different</t>
  </si>
  <si>
    <t>(p=0.05)</t>
  </si>
  <si>
    <t xml:space="preserve"> Biomass components (kg per tree)  </t>
  </si>
  <si>
    <t xml:space="preserve"> Root/  </t>
  </si>
  <si>
    <t xml:space="preserve"> </t>
  </si>
  <si>
    <t xml:space="preserve"> Coarse  </t>
  </si>
  <si>
    <t xml:space="preserve"> Interm.  </t>
  </si>
  <si>
    <t xml:space="preserve"> Fine  </t>
  </si>
  <si>
    <t xml:space="preserve"> Average  </t>
  </si>
  <si>
    <t xml:space="preserve"> /Shoot  </t>
  </si>
  <si>
    <t xml:space="preserve"> Treatment  </t>
  </si>
  <si>
    <t xml:space="preserve"> Stern  </t>
  </si>
  <si>
    <t xml:space="preserve"> Branch.  </t>
  </si>
  <si>
    <t xml:space="preserve"> Leaves  </t>
  </si>
  <si>
    <t xml:space="preserve"> abgt  </t>
  </si>
  <si>
    <t xml:space="preserve"> Tap  </t>
  </si>
  <si>
    <t xml:space="preserve"> roots  </t>
  </si>
  <si>
    <t xml:space="preserve"> blgt  </t>
  </si>
  <si>
    <t xml:space="preserve"> total per  </t>
  </si>
  <si>
    <t xml:space="preserve"> Ratio  </t>
  </si>
  <si>
    <t>branches + coarse roots</t>
  </si>
  <si>
    <t>B+CR/S</t>
  </si>
  <si>
    <t>CR/B+CR</t>
  </si>
  <si>
    <t xml:space="preserve"> root  </t>
  </si>
  <si>
    <t xml:space="preserve"> (d_&gt;  </t>
  </si>
  <si>
    <t xml:space="preserve"> (2-30mm)  </t>
  </si>
  <si>
    <t xml:space="preserve"> (d&lt;2mm)  </t>
  </si>
  <si>
    <t xml:space="preserve"> tree  </t>
  </si>
  <si>
    <t>(f. alpha_c)</t>
  </si>
  <si>
    <t xml:space="preserve"> 30mm)  </t>
  </si>
  <si>
    <t xml:space="preserve"> C  </t>
  </si>
  <si>
    <t xml:space="preserve"> 65.83  </t>
  </si>
  <si>
    <t xml:space="preserve"> 8.31  </t>
  </si>
  <si>
    <t xml:space="preserve"> 10.15  </t>
  </si>
  <si>
    <t xml:space="preserve"> 84.29  </t>
  </si>
  <si>
    <t xml:space="preserve"> 11.66  </t>
  </si>
  <si>
    <t xml:space="preserve"> 6.59  </t>
  </si>
  <si>
    <t xml:space="preserve"> 4.52  </t>
  </si>
  <si>
    <t xml:space="preserve"> 1.37  </t>
  </si>
  <si>
    <t xml:space="preserve"> 24.13  </t>
  </si>
  <si>
    <t xml:space="preserve"> 108.42  </t>
  </si>
  <si>
    <t xml:space="preserve"> 0.286  </t>
  </si>
  <si>
    <t xml:space="preserve"> F  </t>
  </si>
  <si>
    <t xml:space="preserve"> 79.80  </t>
  </si>
  <si>
    <t xml:space="preserve"> 8.52  </t>
  </si>
  <si>
    <t xml:space="preserve"> 10.41  </t>
  </si>
  <si>
    <t xml:space="preserve"> 98.73  </t>
  </si>
  <si>
    <t xml:space="preserve"> 13.19  </t>
  </si>
  <si>
    <t xml:space="preserve"> 2.10  </t>
  </si>
  <si>
    <t xml:space="preserve"> 6.29  </t>
  </si>
  <si>
    <t xml:space="preserve"> 1.69  </t>
  </si>
  <si>
    <t xml:space="preserve"> 23.27  </t>
  </si>
  <si>
    <t xml:space="preserve"> 122.01  </t>
  </si>
  <si>
    <t xml:space="preserve"> 0.236  </t>
  </si>
  <si>
    <t xml:space="preserve"> I  </t>
  </si>
  <si>
    <t xml:space="preserve"> 109.11  </t>
  </si>
  <si>
    <t xml:space="preserve"> 9.25  </t>
  </si>
  <si>
    <t xml:space="preserve"> 11.99  </t>
  </si>
  <si>
    <t xml:space="preserve"> 130.35  </t>
  </si>
  <si>
    <t xml:space="preserve"> 16.19  </t>
  </si>
  <si>
    <t xml:space="preserve"> 4.23  </t>
  </si>
  <si>
    <t xml:space="preserve"> 5.01  </t>
  </si>
  <si>
    <t xml:space="preserve"> 1.93  </t>
  </si>
  <si>
    <t xml:space="preserve"> 27.36  </t>
  </si>
  <si>
    <t xml:space="preserve"> 157.71  </t>
  </si>
  <si>
    <t xml:space="preserve"> 0.210  </t>
  </si>
  <si>
    <t xml:space="preserve"> IL  </t>
  </si>
  <si>
    <t xml:space="preserve"> 120.46  </t>
  </si>
  <si>
    <t xml:space="preserve"> 10.80  </t>
  </si>
  <si>
    <t xml:space="preserve"> 10.42  </t>
  </si>
  <si>
    <t xml:space="preserve"> 141.68  </t>
  </si>
  <si>
    <t xml:space="preserve"> 24.74  </t>
  </si>
  <si>
    <t xml:space="preserve"> 7.97  </t>
  </si>
  <si>
    <t xml:space="preserve"> 3.98  </t>
  </si>
  <si>
    <t xml:space="preserve"> 3.04  </t>
  </si>
  <si>
    <t xml:space="preserve"> 39.74  </t>
  </si>
  <si>
    <t xml:space="preserve"> 181.42  </t>
  </si>
  <si>
    <t xml:space="preserve"> 0.280  </t>
  </si>
  <si>
    <t>Basic density</t>
  </si>
  <si>
    <t>t m-3</t>
  </si>
  <si>
    <r>
      <t xml:space="preserve">Almeida et al. (2004): Parameterisation of 3-PG model for fast-growing </t>
    </r>
    <r>
      <rPr>
        <b/>
        <sz val="10"/>
        <rFont val="Arial"/>
        <family val="2"/>
      </rPr>
      <t>Eucalyptus grandis</t>
    </r>
    <r>
      <rPr>
        <sz val="10"/>
        <rFont val="Arial"/>
        <family val="2"/>
      </rPr>
      <t xml:space="preserve"> plantations</t>
    </r>
  </si>
  <si>
    <t>Minimum basic density for young trees</t>
  </si>
  <si>
    <t>Maximum basic density for older trees</t>
  </si>
  <si>
    <t>Mean density of stem wood</t>
  </si>
  <si>
    <t>kg DM m-3</t>
  </si>
  <si>
    <t>t/m³</t>
  </si>
  <si>
    <t>Resh, S.C., Battaglia, M.,Worledge, D., Ladiges, S., 2003. Coarse root biomass for eucalypt plantations in Tasmania, Australia: sources of variation and methods for assessment. Trees 17, 389–399.</t>
  </si>
  <si>
    <t>Mean density of stem, branch and coarse root wood</t>
  </si>
  <si>
    <t>Eucalyptus globulus</t>
  </si>
  <si>
    <r>
      <t xml:space="preserve">Model </t>
    </r>
    <r>
      <rPr>
        <b/>
        <sz val="10"/>
        <rFont val="Arial"/>
        <family val="2"/>
      </rPr>
      <t>CABALA</t>
    </r>
  </si>
  <si>
    <t>Díaz-Balteiro (2008): Influence of Carbon Sequestration in an Optimal Set of Coppice Rotations for Eucalyptus Plantations</t>
  </si>
  <si>
    <r>
      <t xml:space="preserve">Eucalyptus globulus </t>
    </r>
    <r>
      <rPr>
        <sz val="10"/>
        <rFont val="Arial"/>
        <family val="2"/>
      </rPr>
      <t>plantations in Galicia</t>
    </r>
  </si>
  <si>
    <t>basic wood density</t>
  </si>
  <si>
    <t>Eucalyptus plantations in Brazil</t>
  </si>
  <si>
    <t>(g/cm³)</t>
  </si>
  <si>
    <t xml:space="preserve">J. L. de Moraes Gonçalves (2013): Integrating genetic and silvicultural strategies to minimize abiotic and biotic constraints in Brazilian eucalypt plantations </t>
  </si>
  <si>
    <t>wood density</t>
  </si>
  <si>
    <t>main uses</t>
  </si>
  <si>
    <t>g/cm³</t>
  </si>
  <si>
    <t>E. benthamii</t>
  </si>
  <si>
    <t>Pulpwood, sawnwood, treated wood, firewood</t>
  </si>
  <si>
    <t>0,6-0,7</t>
  </si>
  <si>
    <t>Pulpwood, sawnwood, charcoal</t>
  </si>
  <si>
    <t>E. dunnii</t>
  </si>
  <si>
    <t>0,44-0,52</t>
  </si>
  <si>
    <t>0.42–0.48</t>
  </si>
  <si>
    <t>Pulpwood, fuelwood, sawnwood, panel, treated wood, charcoal</t>
  </si>
  <si>
    <t>E. saligna</t>
  </si>
  <si>
    <t>0.46–0.52</t>
  </si>
  <si>
    <t>Pulpwood, sawnwood, panel</t>
  </si>
  <si>
    <t>E. tereticornis</t>
  </si>
  <si>
    <t>0.60–0.65</t>
  </si>
  <si>
    <t>0.48–0.56</t>
  </si>
  <si>
    <t>Fuelwood, charcoal, treated wood, pulpwood</t>
  </si>
  <si>
    <t>E. camaldulensis x grandis</t>
  </si>
  <si>
    <t>0.47–0.49</t>
  </si>
  <si>
    <t>Pulpwood, fuelwood, firewood, charcoal</t>
  </si>
  <si>
    <t>E. urophylla x globulus</t>
  </si>
  <si>
    <t>0.51–0.54</t>
  </si>
  <si>
    <t>Pulpwood</t>
  </si>
  <si>
    <t>E. urophylla x grandis</t>
  </si>
  <si>
    <t>0.48–0.52</t>
  </si>
  <si>
    <t>Pulpwood, charcoal, fuelwood, panel, sawnwood, treated wood</t>
  </si>
  <si>
    <t>E. urophylla x tereticornis</t>
  </si>
  <si>
    <t>0.53–0.64</t>
  </si>
  <si>
    <t>Fuelwood, pulpwood, charcoal</t>
  </si>
  <si>
    <t>(for short rotation plantations)</t>
  </si>
  <si>
    <t>Miehle (2010)</t>
  </si>
  <si>
    <t>Density of wood (main axis)</t>
  </si>
  <si>
    <t>0.235</t>
  </si>
  <si>
    <t>t C m-3</t>
  </si>
  <si>
    <t>Harrington, 1979</t>
  </si>
  <si>
    <r>
      <t>Table 1 Regressions of ln crown dry matter (kg) on ln diameter of primary branches (cm) for</t>
    </r>
    <r>
      <rPr>
        <b/>
        <i/>
        <sz val="10"/>
        <rFont val="Arial"/>
        <family val="2"/>
      </rPr>
      <t xml:space="preserve"> E. populnea</t>
    </r>
    <r>
      <rPr>
        <i/>
        <sz val="10"/>
        <rFont val="Arial"/>
        <family val="2"/>
      </rPr>
      <t xml:space="preserve"> (n = 12)</t>
    </r>
  </si>
  <si>
    <t>y = (exp A + B ln x)(1/2 exp s^2)</t>
  </si>
  <si>
    <t>Leaf</t>
  </si>
  <si>
    <t>Rough-barked wood</t>
  </si>
  <si>
    <t>Smooth-barked wood</t>
  </si>
  <si>
    <t>All wood</t>
  </si>
  <si>
    <t>Twig</t>
  </si>
  <si>
    <t>A</t>
  </si>
  <si>
    <t>B</t>
  </si>
  <si>
    <t>r</t>
  </si>
  <si>
    <t>ln y(mean)</t>
  </si>
  <si>
    <t>SE(ln y(mean))</t>
  </si>
  <si>
    <t>SE %</t>
  </si>
  <si>
    <t>bias correction factor</t>
  </si>
  <si>
    <r>
      <t xml:space="preserve">Table 2 Regressions of estimated ln crown dry matter (kg) and total diameter (cm) of primary branches on ln trunk diameter for </t>
    </r>
    <r>
      <rPr>
        <b/>
        <i/>
        <sz val="10"/>
        <rFont val="Arial"/>
        <family val="2"/>
      </rPr>
      <t>E. populnea</t>
    </r>
    <r>
      <rPr>
        <i/>
        <sz val="10"/>
        <rFont val="Arial"/>
        <family val="2"/>
      </rPr>
      <t xml:space="preserve"> (n = 20)</t>
    </r>
  </si>
  <si>
    <t>Total branch diameter</t>
  </si>
  <si>
    <r>
      <t>Table 6 Estimated weights of above-ground components (kg/ha) of</t>
    </r>
    <r>
      <rPr>
        <b/>
        <i/>
        <sz val="10"/>
        <rFont val="Arial"/>
        <family val="2"/>
      </rPr>
      <t xml:space="preserve"> E. populnea and E. intertexta</t>
    </r>
  </si>
  <si>
    <t>±</t>
  </si>
  <si>
    <t>Myers (1996)</t>
  </si>
  <si>
    <t xml:space="preserve">basal area </t>
  </si>
  <si>
    <t>leaf mass</t>
  </si>
  <si>
    <t>Einheiten noch anpassen</t>
  </si>
  <si>
    <t>leaf mass/basal area</t>
  </si>
  <si>
    <t>Treatment</t>
  </si>
  <si>
    <t>(m²/ha)</t>
  </si>
  <si>
    <t>(t/ha)</t>
  </si>
  <si>
    <t>t/m²</t>
  </si>
  <si>
    <t>kg/cm²</t>
  </si>
  <si>
    <t>High</t>
  </si>
  <si>
    <t>Medium</t>
  </si>
  <si>
    <t>Low</t>
  </si>
  <si>
    <t>Water</t>
  </si>
  <si>
    <t>(stimmt mit Robinienwert überein)</t>
  </si>
  <si>
    <t>Formel 12</t>
  </si>
  <si>
    <t>SLA</t>
  </si>
  <si>
    <t>m²/kg</t>
  </si>
  <si>
    <t>cm²</t>
  </si>
  <si>
    <t>m²</t>
  </si>
  <si>
    <t>kg</t>
  </si>
  <si>
    <t>AS</t>
  </si>
  <si>
    <t>AL</t>
  </si>
  <si>
    <t>Lmass</t>
  </si>
  <si>
    <t>Lmass/AS</t>
  </si>
  <si>
    <t>average??</t>
  </si>
  <si>
    <t>f. E. globulus verwendbar?</t>
  </si>
  <si>
    <t>Ranatunga (2008): Effects of harvest management practices on forest biomass and soil carbon in eucalypt forests in New South Wales, Australia: Simulations with the forest succession model LINKAGES</t>
  </si>
  <si>
    <r>
      <t xml:space="preserve">Model </t>
    </r>
    <r>
      <rPr>
        <b/>
        <sz val="10"/>
        <rFont val="Arial"/>
        <family val="2"/>
      </rPr>
      <t>LINKAGES</t>
    </r>
  </si>
  <si>
    <r>
      <t xml:space="preserve">Medhurst (1999): Allometric relationships for </t>
    </r>
    <r>
      <rPr>
        <b/>
        <i/>
        <sz val="10"/>
        <rFont val="Arial"/>
        <family val="2"/>
      </rPr>
      <t>Eucalyptus nitens</t>
    </r>
    <r>
      <rPr>
        <i/>
        <sz val="10"/>
        <rFont val="Arial"/>
        <family val="2"/>
      </rPr>
      <t xml:space="preserve"> (Deane and Maiden) Maiden plantations</t>
    </r>
  </si>
  <si>
    <t>Höhe (m)</t>
  </si>
  <si>
    <t>Blattfläche pro Baum (m²)</t>
  </si>
  <si>
    <t>1,4-4,0</t>
  </si>
  <si>
    <t>2,2-19,7</t>
  </si>
  <si>
    <t>4,0-6,8</t>
  </si>
  <si>
    <t>6,2-57,1</t>
  </si>
  <si>
    <t>1,9-4,0</t>
  </si>
  <si>
    <t>1,9-21,3</t>
  </si>
  <si>
    <t>5,4-7,2</t>
  </si>
  <si>
    <t>11,1-39,5</t>
  </si>
  <si>
    <t>(nicht ausreichend)</t>
  </si>
  <si>
    <t>Yilmaz &amp; Cancino (2010): Methodology for the Study of Solar Energy Effects to CO2 Balance in Eucalyptus Forest and Fossil Fuel CO2 Production</t>
  </si>
  <si>
    <t>DAP: Durchmesser auf 1,3 m Höhe</t>
  </si>
  <si>
    <t>F: fresh foliage mass</t>
  </si>
  <si>
    <t>s. Beziehung (Kronenmasse-Höhe) in funktionen-WordDatei</t>
  </si>
  <si>
    <t>Condes and Sterba (2005) fitted for small trees for Australian plantations (E. globulus und andere Gattungen)</t>
  </si>
  <si>
    <t>aus Miehle et al. (2010) --&gt; MoBiLE-PDT, Ursprungspaper nicht im Internet verfügbar</t>
  </si>
  <si>
    <t>crown diameter relation to stem diameter at breast height (1,3 m)</t>
  </si>
  <si>
    <t>dynamic</t>
  </si>
  <si>
    <t>Ranatunga et al. (2008) Effects of harvest management practices on forest biomass and soil carbon in eucalypt forests in New South Wales, Australia: Simulations with the forest succession model LINKAGES</t>
  </si>
  <si>
    <t>E. saligna u. intermedia</t>
  </si>
  <si>
    <t xml:space="preserve">Parameters to calculate crown area from diameter </t>
  </si>
  <si>
    <t>DBH max (saligna)</t>
  </si>
  <si>
    <t>DBH max (intermedia)</t>
  </si>
  <si>
    <t>Alter (Jahre)</t>
  </si>
  <si>
    <t>DBH (cm)</t>
  </si>
  <si>
    <t>Kronenbreite (m)</t>
  </si>
  <si>
    <t>dom. Höhe (m)</t>
  </si>
  <si>
    <t xml:space="preserve">Riocell 1 </t>
  </si>
  <si>
    <t>Riocell 2</t>
  </si>
  <si>
    <t>Riocell 3</t>
  </si>
  <si>
    <t>Riocell 4</t>
  </si>
  <si>
    <t>Riocell 5</t>
  </si>
  <si>
    <t>Riocell 6</t>
  </si>
  <si>
    <t>Todesflor 1</t>
  </si>
  <si>
    <t>Todesflor 2</t>
  </si>
  <si>
    <t>Todesflor 3</t>
  </si>
  <si>
    <t>Todesflor 4</t>
  </si>
  <si>
    <t>UFSM 1</t>
  </si>
  <si>
    <t>UFSM 2</t>
  </si>
  <si>
    <t>Aracruz 1</t>
  </si>
  <si>
    <t>Aracruz 2</t>
  </si>
  <si>
    <t>aus linearem Fit:</t>
  </si>
  <si>
    <t>cw=b1+b2*DBH</t>
  </si>
  <si>
    <t>b1: crown_b</t>
  </si>
  <si>
    <t>0.1249</t>
  </si>
  <si>
    <t>0.7879</t>
  </si>
  <si>
    <t>b2: crown_a</t>
  </si>
  <si>
    <r>
      <t>Pereira et al. (1997): Leaf area estimation from tree allometrics in</t>
    </r>
    <r>
      <rPr>
        <b/>
        <sz val="10"/>
        <rFont val="Arial"/>
        <family val="2"/>
      </rPr>
      <t xml:space="preserve"> Eucalyptus globulus</t>
    </r>
    <r>
      <rPr>
        <sz val="10"/>
        <rFont val="Arial"/>
        <family val="2"/>
      </rPr>
      <t xml:space="preserve"> plantations</t>
    </r>
  </si>
  <si>
    <t xml:space="preserve"> Validation data (Table 2)</t>
  </si>
  <si>
    <t>Min</t>
  </si>
  <si>
    <t>Max</t>
  </si>
  <si>
    <t>DBH (m)</t>
  </si>
  <si>
    <t>Crown diam. (m)</t>
  </si>
  <si>
    <r>
      <t>Bauhus et al. (2004): Aboveground interactions and productivity in mixed-species plantations of Acacia mearnsii and</t>
    </r>
    <r>
      <rPr>
        <b/>
        <sz val="10"/>
        <rFont val="Arial"/>
        <family val="2"/>
      </rPr>
      <t xml:space="preserve"> Eucalyptus globulus</t>
    </r>
  </si>
  <si>
    <t>ssp. pseudoglobulus</t>
  </si>
  <si>
    <t>Standort: Victoria/Australien</t>
  </si>
  <si>
    <t>dbh [cm]</t>
  </si>
  <si>
    <t>crown diameter [m]</t>
  </si>
  <si>
    <t>zu wenig Daten für Fit?</t>
  </si>
  <si>
    <t>ähnelt eher Nutto (f. E. grandis)</t>
  </si>
  <si>
    <t>Condés &amp; Sterba (2005); s. Datei "funktionen_4c_euk"</t>
  </si>
  <si>
    <t>(E. globulus)</t>
  </si>
  <si>
    <t>(aus Gleichung CW4)</t>
  </si>
  <si>
    <t>Standort: Spanien</t>
  </si>
  <si>
    <r>
      <t xml:space="preserve">Specific leaf area at </t>
    </r>
    <r>
      <rPr>
        <b/>
        <sz val="10"/>
        <rFont val="Arial"/>
        <family val="2"/>
      </rPr>
      <t>stand age 0</t>
    </r>
  </si>
  <si>
    <t>m² kg-1</t>
  </si>
  <si>
    <r>
      <t xml:space="preserve">Specific leaf area for </t>
    </r>
    <r>
      <rPr>
        <b/>
        <sz val="10"/>
        <rFont val="Arial"/>
        <family val="2"/>
      </rPr>
      <t>mature aged stands</t>
    </r>
    <r>
      <rPr>
        <sz val="10"/>
        <rFont val="Arial"/>
        <family val="2"/>
      </rPr>
      <t xml:space="preserve"> </t>
    </r>
  </si>
  <si>
    <t>(entspricht minimalem Wert)?</t>
  </si>
  <si>
    <t>forest type</t>
  </si>
  <si>
    <t>Native forest species</t>
  </si>
  <si>
    <t>Plantations species</t>
  </si>
  <si>
    <t>Controlled environment species</t>
  </si>
  <si>
    <t>unit</t>
  </si>
  <si>
    <t>specific leaf area for Eucalyptus species</t>
  </si>
  <si>
    <t>E. obliqua</t>
  </si>
  <si>
    <t>3.9–5.4</t>
  </si>
  <si>
    <t>15–37</t>
  </si>
  <si>
    <t>E. viminalis</t>
  </si>
  <si>
    <t>4.4–7.6</t>
  </si>
  <si>
    <t>E. macrorhyncha</t>
  </si>
  <si>
    <t>E. behriana</t>
  </si>
  <si>
    <t>E. goniocalyx</t>
  </si>
  <si>
    <t>E. incressata</t>
  </si>
  <si>
    <t>E. maculata</t>
  </si>
  <si>
    <t>E. pilularis</t>
  </si>
  <si>
    <t>E. melliodora</t>
  </si>
  <si>
    <t>E. pauciflora</t>
  </si>
  <si>
    <t>2.8–3.4</t>
  </si>
  <si>
    <r>
      <t xml:space="preserve">England and Attiwill 2006, Changes in leaf morphology and anatomy with tree age and height in the broadleaved evergreen species, </t>
    </r>
    <r>
      <rPr>
        <b/>
        <sz val="10"/>
        <rFont val="Arial"/>
        <family val="2"/>
      </rPr>
      <t>Eucalyptus regnans</t>
    </r>
    <r>
      <rPr>
        <sz val="10"/>
        <rFont val="Arial"/>
        <family val="2"/>
      </rPr>
      <t xml:space="preserve"> F. Muell, TREES-STRUCTURE AND FUNCTION</t>
    </r>
  </si>
  <si>
    <t>Characteristic</t>
  </si>
  <si>
    <t>Site</t>
  </si>
  <si>
    <t>Age-class (year)</t>
  </si>
  <si>
    <t>6–7</t>
  </si>
  <si>
    <t>16–17</t>
  </si>
  <si>
    <t>30–31</t>
  </si>
  <si>
    <t>SLA (cm2 g−1)</t>
  </si>
  <si>
    <t>T</t>
  </si>
  <si>
    <t>M</t>
  </si>
  <si>
    <t>Values are means of five trees per stand, standard errors of the mean given in parentheses</t>
  </si>
  <si>
    <t>Table 2</t>
  </si>
  <si>
    <t>Measured for different species at different rainfall locations</t>
  </si>
  <si>
    <t>highly dependent on species and rainfall (see Fig. 2A)</t>
  </si>
  <si>
    <t xml:space="preserve">3,3 – 6,67 </t>
  </si>
  <si>
    <t>SLA (average over stands; 30 recent fully expanded leaves from the middle of the canopy)</t>
  </si>
  <si>
    <t>See Table 3, generic observed value; depending on stand age (decreasing with age)</t>
  </si>
  <si>
    <t>10,5 – 8</t>
  </si>
  <si>
    <t>m² / kg</t>
  </si>
  <si>
    <r>
      <t xml:space="preserve">Medhurst et al. (1999): Allometric relationships for </t>
    </r>
    <r>
      <rPr>
        <b/>
        <sz val="10"/>
        <rFont val="Arial"/>
        <family val="2"/>
      </rPr>
      <t>Eucalyptus nitens</t>
    </r>
    <r>
      <rPr>
        <sz val="10"/>
        <rFont val="Arial"/>
        <family val="2"/>
      </rPr>
      <t xml:space="preserve"> (Deane and Maiden) Maiden plantations</t>
    </r>
  </si>
  <si>
    <t>from different crown zones and ages; see tab 5</t>
  </si>
  <si>
    <t>1,43 – 8,3; mean: 4,8</t>
  </si>
  <si>
    <t>observed value</t>
  </si>
  <si>
    <t>Specific leaf area for initial age planting</t>
  </si>
  <si>
    <t>Specific leaf area for adult age planting</t>
  </si>
  <si>
    <r>
      <t xml:space="preserve">Kirschbaum et al. (2007): Modelling net ecosystem carbon and water exchange of a temperate </t>
    </r>
    <r>
      <rPr>
        <b/>
        <sz val="10"/>
        <rFont val="Arial"/>
        <family val="2"/>
      </rPr>
      <t>Eucalyptus delegatensis</t>
    </r>
    <r>
      <rPr>
        <sz val="10"/>
        <rFont val="Arial"/>
        <family val="2"/>
      </rPr>
      <t xml:space="preserve"> forest using multiple constraints</t>
    </r>
  </si>
  <si>
    <t>Specific leaf area</t>
  </si>
  <si>
    <t>m²/kg DW</t>
  </si>
  <si>
    <t>(niedrigster Wert)</t>
  </si>
  <si>
    <t>m2 leaf kg-1 DM</t>
  </si>
  <si>
    <r>
      <t xml:space="preserve">Stape et al. (2004): Testing the utility of the </t>
    </r>
    <r>
      <rPr>
        <b/>
        <sz val="10"/>
        <rFont val="Arial"/>
        <family val="2"/>
      </rPr>
      <t>3-PG model</t>
    </r>
    <r>
      <rPr>
        <sz val="10"/>
        <rFont val="Arial"/>
        <family val="2"/>
      </rPr>
      <t xml:space="preserve"> for growth of </t>
    </r>
    <r>
      <rPr>
        <b/>
        <sz val="10"/>
        <rFont val="Arial"/>
        <family val="2"/>
      </rPr>
      <t>Eucalyptus grandis x urophylla</t>
    </r>
    <r>
      <rPr>
        <sz val="10"/>
        <rFont val="Arial"/>
        <family val="2"/>
      </rPr>
      <t xml:space="preserve"> with natural and manipulated supplies of water and nutrients</t>
    </r>
  </si>
  <si>
    <t>Specific leaf area (Brazil)</t>
  </si>
  <si>
    <t>8,5 or 11,0</t>
  </si>
  <si>
    <t>Hoad and Leakey (1996): Effects of pre-severance light quality on the vegetative propagation of Eucalyptus grandis W. Hill ex Maiden</t>
  </si>
  <si>
    <t>specific leaf area</t>
  </si>
  <si>
    <t>Experiment I</t>
  </si>
  <si>
    <t>Experiment II</t>
  </si>
  <si>
    <t>cm²/mg</t>
  </si>
  <si>
    <t>E.grandis</t>
  </si>
  <si>
    <r>
      <t xml:space="preserve">Miehle (2006); </t>
    </r>
    <r>
      <rPr>
        <b/>
        <sz val="10"/>
        <rFont val="Arial"/>
        <family val="2"/>
      </rPr>
      <t>E. globulus</t>
    </r>
  </si>
  <si>
    <t>Umrechnung:</t>
  </si>
  <si>
    <t>specific leaf weight at the top of canopy</t>
  </si>
  <si>
    <t>min. Spezif. Blattfläche (SLA)</t>
  </si>
  <si>
    <t>g/m²</t>
  </si>
  <si>
    <t>kg/m²</t>
  </si>
  <si>
    <t>Battaglia et al 2004</t>
  </si>
  <si>
    <t>Growth respiration, as a fraction of allocated carbon?</t>
  </si>
  <si>
    <t>Miehle et al 2006</t>
  </si>
  <si>
    <t>Respiration as a fraction of maximum photosynthesis?</t>
  </si>
  <si>
    <t xml:space="preserve"> Verhältnis mitochondrial respiration rate / max. carboxylation rate gefragt</t>
  </si>
  <si>
    <t>carboxylation rate (Vc max)</t>
  </si>
  <si>
    <t>49-87</t>
  </si>
  <si>
    <t>µmol/m² s</t>
  </si>
  <si>
    <r>
      <t xml:space="preserve">Grassi et al. (2002): Photosynthetic parameters in seedlings of </t>
    </r>
    <r>
      <rPr>
        <b/>
        <sz val="10"/>
        <rFont val="Arial"/>
        <family val="2"/>
      </rPr>
      <t>Eucalyptus grandis</t>
    </r>
    <r>
      <rPr>
        <sz val="10"/>
        <rFont val="Arial"/>
        <family val="2"/>
      </rPr>
      <t xml:space="preserve"> as affected by rates of nitrogen supply</t>
    </r>
  </si>
  <si>
    <t>max. carboxylation rate</t>
  </si>
  <si>
    <t>depending on nutrient treatment</t>
  </si>
  <si>
    <t>E. globulus; Parameter umrechnen (reziprok)</t>
  </si>
  <si>
    <r>
      <t>Change in specific leaf weight with canopy depth (</t>
    </r>
    <r>
      <rPr>
        <i/>
        <sz val="10"/>
        <color indexed="10"/>
        <rFont val="Arial"/>
        <family val="2"/>
      </rPr>
      <t>canopy mass</t>
    </r>
    <r>
      <rPr>
        <i/>
        <sz val="10"/>
        <rFont val="Arial"/>
        <family val="2"/>
      </rPr>
      <t>)</t>
    </r>
  </si>
  <si>
    <t xml:space="preserve">g/(m²*g) </t>
  </si>
  <si>
    <r>
      <t>(ursprüngl. für breitblättrige Laubbäume (Eucalyptus taucht nicht explizit auf), s.</t>
    </r>
    <r>
      <rPr>
        <i/>
        <sz val="10"/>
        <color indexed="10"/>
        <rFont val="Arial"/>
        <family val="2"/>
      </rPr>
      <t xml:space="preserve"> Aber, 1996</t>
    </r>
    <r>
      <rPr>
        <i/>
        <sz val="10"/>
        <rFont val="Arial"/>
        <family val="2"/>
      </rPr>
      <t>)</t>
    </r>
  </si>
  <si>
    <t>Phänologie</t>
  </si>
  <si>
    <r>
      <t xml:space="preserve">Ranatunga et al. (2008) Effects of harvest management practices on forest biomass and soil carbon in eucalypt forests in New South Wales, Australia: Simulations with the forest succession model </t>
    </r>
    <r>
      <rPr>
        <b/>
        <sz val="10"/>
        <rFont val="Arial"/>
        <family val="2"/>
      </rPr>
      <t>LINKAGES</t>
    </r>
  </si>
  <si>
    <t>min. number of growing degree days</t>
  </si>
  <si>
    <t>max. number of growing degree days</t>
  </si>
  <si>
    <t>four other species (s. App. B): E. pilularis, E. intermedia, E. microcorys</t>
  </si>
  <si>
    <t>LINKAGES</t>
  </si>
  <si>
    <r>
      <t xml:space="preserve">Miehle (2006): Assessing productivity and carbon sequestration capacity of </t>
    </r>
    <r>
      <rPr>
        <b/>
        <sz val="10"/>
        <rFont val="Arial"/>
        <family val="2"/>
      </rPr>
      <t>E. globulus</t>
    </r>
    <r>
      <rPr>
        <sz val="10"/>
        <rFont val="Arial"/>
        <family val="2"/>
      </rPr>
      <t xml:space="preserve"> plantations using the process model </t>
    </r>
    <r>
      <rPr>
        <b/>
        <sz val="10"/>
        <rFont val="Arial"/>
        <family val="2"/>
      </rPr>
      <t>Forest-DNDC</t>
    </r>
    <r>
      <rPr>
        <sz val="10"/>
        <rFont val="Arial"/>
        <family val="2"/>
      </rPr>
      <t>:Calibration and validation</t>
    </r>
  </si>
  <si>
    <t>Growing degree day (GDD) at which foliar production ends</t>
  </si>
  <si>
    <t>GDD at which foliar production begins</t>
  </si>
  <si>
    <r>
      <t xml:space="preserve">Miehle (2010): Evaluation of a process-based ecosystem model for long-term biomass and stand development of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 xml:space="preserve"> plantations</t>
    </r>
  </si>
  <si>
    <t>800 (estimated)</t>
  </si>
  <si>
    <t>Lima et al. 1990</t>
  </si>
  <si>
    <t>interception loss</t>
  </si>
  <si>
    <t>mm</t>
  </si>
  <si>
    <r>
      <t xml:space="preserve">maximum storage capacity for </t>
    </r>
    <r>
      <rPr>
        <b/>
        <sz val="10"/>
        <rFont val="Arial"/>
        <family val="2"/>
      </rPr>
      <t>E. maculata</t>
    </r>
  </si>
  <si>
    <t>mm per unit LAI</t>
  </si>
  <si>
    <r>
      <t xml:space="preserve">maximum storage capacity for </t>
    </r>
    <r>
      <rPr>
        <b/>
        <sz val="10"/>
        <rFont val="Arial"/>
        <family val="2"/>
      </rPr>
      <t>E. grandis</t>
    </r>
    <r>
      <rPr>
        <sz val="10"/>
        <rFont val="Arial"/>
        <family val="2"/>
      </rPr>
      <t xml:space="preserve"> with LAI 4</t>
    </r>
  </si>
  <si>
    <r>
      <t>Almeida et al. (2004): Parameterisation of</t>
    </r>
    <r>
      <rPr>
        <b/>
        <sz val="10"/>
        <rFont val="Arial"/>
        <family val="2"/>
      </rPr>
      <t xml:space="preserve"> 3-PG</t>
    </r>
    <r>
      <rPr>
        <sz val="10"/>
        <rFont val="Arial"/>
        <family val="2"/>
      </rPr>
      <t xml:space="preserve"> model for fast-growing</t>
    </r>
    <r>
      <rPr>
        <b/>
        <sz val="10"/>
        <rFont val="Arial"/>
        <family val="2"/>
      </rPr>
      <t xml:space="preserve"> Eucalyptus grandis </t>
    </r>
    <r>
      <rPr>
        <sz val="10"/>
        <rFont val="Arial"/>
        <family val="2"/>
      </rPr>
      <t>plantations</t>
    </r>
  </si>
  <si>
    <t>see Table 3; observed value</t>
  </si>
  <si>
    <t>Maximum proportion of rainfall evaporated from canopy; LAI=3 at maximum interception</t>
  </si>
  <si>
    <t>Foliage water holding capacity per unit leaf area index (for rainfall interception) (mm)</t>
  </si>
  <si>
    <t>Miehle et al (2010): Evaluation of a process-based ecosystem model for long-term biomass and stand development of Eucalyptus globulus plantations</t>
  </si>
  <si>
    <t>Species-specific water retaining capacity on leaves (interception capacity)</t>
  </si>
  <si>
    <t>mm/m² LAI</t>
  </si>
  <si>
    <t>Goncalves (2013): Integrating genetic and silvicultural strategies to minimize biotic and abiotic constraints in Brazilian eucalypt plantations</t>
  </si>
  <si>
    <t>E. grandis (32-38 months old)</t>
  </si>
  <si>
    <t>canopy rainfall interception</t>
  </si>
  <si>
    <t>18-21%</t>
  </si>
  <si>
    <t>Whitehead (2004): Physiological regulation of productivity and water use in Eucalyptus: a review</t>
  </si>
  <si>
    <t>E. grandis (9 years old)</t>
  </si>
  <si>
    <t>11 % of annual rainfall</t>
  </si>
  <si>
    <t>10 % of annual rainfall</t>
  </si>
  <si>
    <t>Bernhard-Reversat 1999</t>
  </si>
  <si>
    <t>Leaf litter</t>
  </si>
  <si>
    <t>rem. Weight</t>
  </si>
  <si>
    <t>E. saligna hybrids</t>
  </si>
  <si>
    <t>Test</t>
  </si>
  <si>
    <t>Koeff.</t>
  </si>
  <si>
    <t>year</t>
  </si>
  <si>
    <t>day</t>
  </si>
  <si>
    <t>PF1</t>
  </si>
  <si>
    <t>PF1_2</t>
  </si>
  <si>
    <t>Stape</t>
  </si>
  <si>
    <t>Freier</t>
  </si>
  <si>
    <t>Freier_1</t>
  </si>
  <si>
    <t>litter allg.!</t>
  </si>
  <si>
    <t>E. saligna hybrid</t>
  </si>
  <si>
    <t>Dauer (d)</t>
  </si>
  <si>
    <t>Gewichtsverlust</t>
  </si>
  <si>
    <t>berechn. k</t>
  </si>
  <si>
    <t>Temperatur</t>
  </si>
  <si>
    <t>Quelle</t>
  </si>
  <si>
    <t>25°C (mean annual temperature)</t>
  </si>
  <si>
    <t>1250 mm (mean annual prec.); 4 dry months</t>
  </si>
  <si>
    <t>Kongo (Küstensavanne)</t>
  </si>
  <si>
    <t>HS2</t>
  </si>
  <si>
    <t>Kirschbaum 2007</t>
  </si>
  <si>
    <t>decomposition activity under extreme dry conditions</t>
  </si>
  <si>
    <t xml:space="preserve">Putuhena 1996 (urprüngl. Stafford 1976) </t>
  </si>
  <si>
    <t>litter fall per year as leaves</t>
  </si>
  <si>
    <t>Zersetzungsfunktion aus Ranatunga (2008):</t>
  </si>
  <si>
    <t>Stape (2008): Production and carbon allocation in a clonal Eucalyptus plantation with water and nutrient manipulations</t>
  </si>
  <si>
    <t>exponential decay rate obtained for leaf material in a 1-year decomposition study using litter bags</t>
  </si>
  <si>
    <t>per day</t>
  </si>
  <si>
    <t>Freier et al (2010)</t>
  </si>
  <si>
    <t>rate of decomposition</t>
  </si>
  <si>
    <t>Modell:</t>
  </si>
  <si>
    <t>Mello_Goncalves (2007)</t>
  </si>
  <si>
    <t>negative exponential decay model</t>
  </si>
  <si>
    <t>k=-(ln(X/X0))/t</t>
  </si>
  <si>
    <t>Annual decay constant (k) of fine roots incubated in litter</t>
  </si>
  <si>
    <t>Relative decomposability of stems (relative to structural litter)</t>
  </si>
  <si>
    <t>important for further calculations of parameter from general decomposition rates</t>
  </si>
  <si>
    <t>litter fall per year as branches and twigs</t>
  </si>
  <si>
    <t>Ranatunga 2008</t>
  </si>
  <si>
    <t>E. grandis x urophylla</t>
  </si>
  <si>
    <t>decomposition rate/total weight loss</t>
  </si>
  <si>
    <t>&lt;0,2</t>
  </si>
  <si>
    <t>0,05 for well decomposed wood</t>
  </si>
  <si>
    <t>0,03 for wood of trees over 10 cm DBH</t>
  </si>
  <si>
    <t>0,1 for wood of trees smaller 10 cm DBH</t>
  </si>
  <si>
    <t>(nur für N)</t>
  </si>
  <si>
    <t>Parameter</t>
  </si>
  <si>
    <t>Einheit</t>
  </si>
  <si>
    <t>Erklärung</t>
  </si>
  <si>
    <t>Wert</t>
  </si>
  <si>
    <t>Referenzen</t>
  </si>
  <si>
    <t>max_age</t>
  </si>
  <si>
    <t>[Jahre]</t>
  </si>
  <si>
    <t>maximales Baumalter für Baumindividuen unter optimalen Bedingungen</t>
  </si>
  <si>
    <t>stol</t>
  </si>
  <si>
    <t>[-]</t>
  </si>
  <si>
    <t>Schattentoleranz, sehr gross = 5, bis sehr gering =1</t>
  </si>
  <si>
    <t>pfext</t>
  </si>
  <si>
    <t>Lichtextinktionskoeffizient, durchschnittlicher Koeffizient für Lambert-Beer-Formel</t>
  </si>
  <si>
    <t>sigman</t>
  </si>
  <si>
    <t xml:space="preserve"> [kg N (kg Wurzel TM)-1 y-1]</t>
  </si>
  <si>
    <t>spezifische Aufnahmekapazität von Feinwurzeln für Stickstoff</t>
  </si>
  <si>
    <t>respcoeff</t>
  </si>
  <si>
    <t>Fraktion der Bruttoproduktion, die von der Pflanze respiriert wird (autotrophe Respiration) für Modell in dem feste Fraktion angenommen wird (siehe z.B. Landsberg)</t>
  </si>
  <si>
    <t>prg</t>
  </si>
  <si>
    <t>Fraktion des zum Wachstum verwendeten Kohlenstoffs, die als Wachstumsrespiration verlorengeht  = Fraktion des Kohlenstoffs, der als Wachstumsrespiration während des Wachstums verlorengeht (= gC respiriert als Wachstumsrepiration /(gC respiriert als Wachstumsrepiration + gC in den Produkten des Wachstumsprozesses)</t>
  </si>
  <si>
    <t>prms</t>
  </si>
  <si>
    <t xml:space="preserve"> [d-1]</t>
  </si>
  <si>
    <t>spezifische Respirationsrate des Splintholzes (meist bei einer Basistemperatur von 15 °C, wenn andere Basistemperatur benutzt, diese und soweit Verfügbar Q10 angeben) = Fraktion der Masse die pro Tag für Erhaltung veratmet wird</t>
  </si>
  <si>
    <t>prmr</t>
  </si>
  <si>
    <t>spezifische Respirationsrate der Feinwurzeln (meist bei einer Basistemperatur von 15 °C, wenn andere Basistemperatur benutzt, diese und soweit Verfügbar Q10 angeben) = Fraktion der Masse die pro Tag für Erhaltung veratmet wird</t>
  </si>
  <si>
    <t>psf</t>
  </si>
  <si>
    <t xml:space="preserve"> [y-1]</t>
  </si>
  <si>
    <t>Seneszenzrate für die Blätter (= 1/Lebensdauer), im Falle von im Winter entlaubten Bäumen = 1</t>
  </si>
  <si>
    <t>pss</t>
  </si>
  <si>
    <t>Seneszenzrate für das Splintholz (1/(Zeit bis Verlust der Wasserleitfähigkeit))</t>
  </si>
  <si>
    <t>psr</t>
  </si>
  <si>
    <t>Seneszenzrate für die Feinwurzeln (= 1/Lebensdauer)</t>
  </si>
  <si>
    <t>pncr/pcnr</t>
  </si>
  <si>
    <t>[gN gC-1]</t>
  </si>
  <si>
    <t>noch nicht benutzt, Blatt C/N Verhältnis (zur Berechnung werden gebraucht: Stickstoff- und Kohlenstoffgehalte einzelner Organe und Massen der Organe, soweit möglich Alter und Grösse der Bäume mit angeben)</t>
  </si>
  <si>
    <t>Ncon_fol</t>
  </si>
  <si>
    <t>Stickstoffkonzentration in Blättern</t>
  </si>
  <si>
    <t>Ncon_frt</t>
  </si>
  <si>
    <t>Stickstoffkonzentration in Feinwurzeln</t>
  </si>
  <si>
    <t>Ncon_crt</t>
  </si>
  <si>
    <t>Stickstoffkonzentration in Grobwurzeln</t>
  </si>
  <si>
    <t>MW</t>
  </si>
  <si>
    <t>(unpublished data from Stape)</t>
  </si>
  <si>
    <t>plantations with E. grandis;  Bahia, Brazil;</t>
  </si>
  <si>
    <t>mean annual temperature of 25.3 8C and an average rainfall of 1040 mm/year.</t>
  </si>
  <si>
    <t>Surface input only</t>
  </si>
  <si>
    <t>Surface and root input</t>
  </si>
  <si>
    <r>
      <t>decomposition rate k</t>
    </r>
    <r>
      <rPr>
        <b/>
        <sz val="8"/>
        <rFont val="Arial"/>
        <family val="2"/>
      </rPr>
      <t xml:space="preserve">0 </t>
    </r>
    <r>
      <rPr>
        <sz val="8"/>
        <rFont val="Arial"/>
        <family val="2"/>
      </rPr>
      <t xml:space="preserve"> </t>
    </r>
    <r>
      <rPr>
        <sz val="10"/>
        <rFont val="Arial"/>
        <family val="2"/>
      </rPr>
      <t>(for surface and root input together)</t>
    </r>
  </si>
  <si>
    <t xml:space="preserve">Äthiopien; </t>
  </si>
  <si>
    <t>mean annual temperatures vary between 19 and 21 °C, mean annual precipitation of 1250mm</t>
  </si>
  <si>
    <t>Stape, J.L. et al. 2008</t>
  </si>
  <si>
    <t>Eucalyptus grandis</t>
  </si>
  <si>
    <t>Verhältnis C-Änderung zu Litterfall:</t>
  </si>
  <si>
    <t>C-Änderung im Boden (O-Horizont und 45 cm Mineralboden)</t>
  </si>
  <si>
    <t>Änderungsrate ohne Kenntnis der Zufuhr durch Wurzeln</t>
  </si>
  <si>
    <t xml:space="preserve"> with a mean annual temperature of 25.3 8C and an average rainfall of 1040 mm/year</t>
  </si>
  <si>
    <t xml:space="preserve">northeastern coast of Bahia State, Brazil,  </t>
  </si>
  <si>
    <t>about 20 km SW of Entre-Rios (118580S, 388070W) at 250 m elevation</t>
  </si>
  <si>
    <t>Western Plateau of the State of Sa˜o Paulo, Brazil</t>
  </si>
  <si>
    <r>
      <t>Typic Hapludox (dystrophic loamy soil—</t>
    </r>
    <r>
      <rPr>
        <b/>
        <sz val="10"/>
        <rFont val="Arial"/>
        <family val="2"/>
      </rPr>
      <t>RED</t>
    </r>
    <r>
      <rPr>
        <sz val="10"/>
        <rFont val="Arial"/>
        <family val="2"/>
      </rPr>
      <t>) at the most productive site</t>
    </r>
  </si>
  <si>
    <r>
      <t>Typic Quartzipsamment (sandy soil—</t>
    </r>
    <r>
      <rPr>
        <b/>
        <sz val="10"/>
        <rFont val="Arial"/>
        <family val="2"/>
      </rPr>
      <t>QTZ</t>
    </r>
    <r>
      <rPr>
        <sz val="10"/>
        <rFont val="Arial"/>
        <family val="2"/>
      </rPr>
      <t>) at the least productive site</t>
    </r>
  </si>
  <si>
    <t xml:space="preserve">FR1 (k) </t>
  </si>
  <si>
    <t xml:space="preserve">FR2 (k) </t>
  </si>
  <si>
    <t xml:space="preserve">RED </t>
  </si>
  <si>
    <t xml:space="preserve">QTZ </t>
  </si>
  <si>
    <t xml:space="preserve">MF </t>
  </si>
  <si>
    <t xml:space="preserve">Litter layer </t>
  </si>
  <si>
    <t xml:space="preserve">10 cm deep </t>
  </si>
  <si>
    <t xml:space="preserve">HS </t>
  </si>
  <si>
    <t xml:space="preserve">HW </t>
  </si>
  <si>
    <t xml:space="preserve">Localization </t>
  </si>
  <si>
    <t>MW FR1 und FR2</t>
  </si>
  <si>
    <t>MW alle Zeitpunkte</t>
  </si>
  <si>
    <t>k per day</t>
  </si>
  <si>
    <t>remin_1</t>
  </si>
  <si>
    <t>remin_2</t>
  </si>
  <si>
    <t>remin_3</t>
  </si>
  <si>
    <t>Itaparica</t>
  </si>
  <si>
    <t>Espirra</t>
  </si>
  <si>
    <t>RED</t>
  </si>
  <si>
    <t>Medhurst, J. L., Battaglia, M., Cherry, M. L., Hunt, M. A., White, D. A., Beadle, C. L. (1999): Allometric relationships for Eucalyptus nitens (Deane and Maiden) Maiden plantations. Trees-Struct. Funct. 14(2), 91-101.</t>
  </si>
  <si>
    <t>Ncon_tbc</t>
  </si>
  <si>
    <t>Stickstoffkonzentration in Ästen und Zweigen</t>
  </si>
  <si>
    <t>Ncon_stem</t>
  </si>
  <si>
    <t>Stickstoffkonzentration in der Sprossachse</t>
  </si>
  <si>
    <t>reallo_fol</t>
  </si>
  <si>
    <t>reallocation parameter of foliage</t>
  </si>
  <si>
    <t>reallo_frt</t>
  </si>
  <si>
    <t>alphac</t>
  </si>
  <si>
    <t xml:space="preserve">durchschnittlicher Zuwachs an Ästen, Zweigen und Grobwurzeln im Verhältnis zum Zuwachs des Splintholzes </t>
  </si>
  <si>
    <t>cr_frac</t>
  </si>
  <si>
    <t>Fraktion von Ästen, Zweigen und Wurzeln relativ zu Grobwurzeln?</t>
  </si>
  <si>
    <t>prhos</t>
  </si>
  <si>
    <t xml:space="preserve"> kg TM cm3 Frischvolumen</t>
  </si>
  <si>
    <t>Dichte des Splintholzes</t>
  </si>
  <si>
    <t>pnus</t>
  </si>
  <si>
    <t xml:space="preserve"> [kg DM cm2]</t>
  </si>
  <si>
    <t>Blattmasse zu Splintholzquerschnittsfläche (Blattmasse des Gesamtbaumes und Splintholzquerschnittsfläche unterhalb des Kronenansatzes)</t>
  </si>
  <si>
    <t>pha</t>
  </si>
  <si>
    <t>[cm kg-1]</t>
  </si>
  <si>
    <t>für Bestimmung aller pha Parameter werden Datensätze von Blattmasse und Höhe möglichst vieler Einzelbäume benötigt, Fit erfolgt später</t>
  </si>
  <si>
    <t>(pha_coeff1)</t>
  </si>
  <si>
    <t>(pha_coeff2)</t>
  </si>
  <si>
    <t>crown_a</t>
  </si>
  <si>
    <t>für Bestimmung der Parameter der Kronendurchmesser/BHD-Relation werden Datensätze von Kronendurchmesser oder Kronenprojektionsfläche und Brusthöhendurchmesser möglichst vieler Einzelbäume benötigt, Fit erfolgt später</t>
  </si>
  <si>
    <t>crown_b</t>
  </si>
  <si>
    <t>crown_c</t>
  </si>
  <si>
    <t>psla_min</t>
  </si>
  <si>
    <t>[m2 kg-1 TM]</t>
  </si>
  <si>
    <t>typische spezifische Blattfläche (SLA) = Blattfläche (projizierte Fläche) / Blatttrockenmasse; für diesen und den folgenden Parameter werden Messungen von SLA der obersten Sonnenblätter und von Blättern bei bekannter relativer Bestrahlungsstärke benötigt</t>
  </si>
  <si>
    <t>psla_a</t>
  </si>
  <si>
    <t xml:space="preserve">Änderung im SLA pro 100% Reduktion der relativen Bestrahlungsstärke </t>
  </si>
  <si>
    <t>pb</t>
  </si>
  <si>
    <t>mitochondrial respiration rate (Rd) / maximal carboxylation rate (Vm)</t>
  </si>
  <si>
    <t>end_bb</t>
  </si>
  <si>
    <t>durchschnittlicher Tag des Blattfalls, für immergrüne Arten = 366 wenn nicht bekannt</t>
  </si>
  <si>
    <t>ceppot_spec</t>
  </si>
  <si>
    <t xml:space="preserve"> [mm m-2]</t>
  </si>
  <si>
    <t>Interzeptionskapazität der Blätter in mm Wasser pro Quadratmeter Blattfläche</t>
  </si>
  <si>
    <t>Nresp</t>
  </si>
  <si>
    <t>k_opm_fol</t>
  </si>
  <si>
    <t>für die Bestimmung aller k_opm und k_syn parameter werden Resultate von Inkubationsversuchen oder Zersetzungsversuchen mit der 'litter bag' Methode benötigt. Gewichständerungen über Zeit aus Versuchen interessant, auch N-Gehalte, da Rückschlüsse auf C über C/N-Verhältnis möglich Parametrisierung erfolgt später
mineralization constant of foliage litter</t>
  </si>
  <si>
    <t>k_opm_frt</t>
  </si>
  <si>
    <t>[d-1]</t>
  </si>
  <si>
    <t>mineralization rate of fine root litter</t>
  </si>
  <si>
    <t>k_opm_stem</t>
  </si>
  <si>
    <t>mineralization rate of stem wood litter</t>
  </si>
  <si>
    <t>k_opm_tbc</t>
  </si>
  <si>
    <t>mineralization rate of twigs, branches and coarse root litter</t>
  </si>
  <si>
    <t>k_opm_crt</t>
  </si>
  <si>
    <t>mineralization rate of coarse roots</t>
  </si>
  <si>
    <t>k_syn_fol</t>
  </si>
  <si>
    <t>synthesis coefficient of humus from foliage litter (welcher Anteil wird in Humus umgesetzt und nicht in CO2-Produktion?)</t>
  </si>
  <si>
    <t>k_syn_frt</t>
  </si>
  <si>
    <t>k_syn_stem</t>
  </si>
  <si>
    <t>k_syn_tbc</t>
  </si>
  <si>
    <t>k_syn_crt</t>
  </si>
  <si>
    <t>note</t>
  </si>
  <si>
    <t>no valuable data available</t>
  </si>
  <si>
    <t>parameters from spruce are used</t>
  </si>
  <si>
    <t>data available but parameter calculation necessary, maybe more data necessary</t>
  </si>
  <si>
    <t>Nippert, J. B. and J. D. Marshall (2003)</t>
  </si>
  <si>
    <t>only this reference used (until now)</t>
  </si>
  <si>
    <t>nicht in detaillierter Parameterliste enthalten</t>
  </si>
  <si>
    <t>nur (neu) in detaillierter Parameterliste enthalten</t>
  </si>
  <si>
    <t>Reference</t>
  </si>
  <si>
    <t>Species</t>
  </si>
  <si>
    <t>Model</t>
  </si>
  <si>
    <t>Region</t>
  </si>
  <si>
    <t>Höhe über NN</t>
  </si>
  <si>
    <t>mittlere Temperatur</t>
  </si>
  <si>
    <t>Niederschlag</t>
  </si>
  <si>
    <t>Bernardo et al. (1998)</t>
  </si>
  <si>
    <t>E. camaldulensis</t>
  </si>
  <si>
    <t>NA</t>
  </si>
  <si>
    <t>Hunter (2001)</t>
  </si>
  <si>
    <t>Kirschbaum et al. (2007)</t>
  </si>
  <si>
    <t>E. delegatensis</t>
  </si>
  <si>
    <t>CenW</t>
  </si>
  <si>
    <t>Australien, Tumbarumba</t>
  </si>
  <si>
    <t>Keith et al. (2009)</t>
  </si>
  <si>
    <t>OConnell (1990)</t>
  </si>
  <si>
    <t>E. diversicolor</t>
  </si>
  <si>
    <t>Hingston and Galbraith (1998)</t>
  </si>
  <si>
    <t>E. globulus</t>
  </si>
  <si>
    <t>BIOMASS</t>
  </si>
  <si>
    <t>Portugal, Australien</t>
  </si>
  <si>
    <t>Rodrigues et al. (2011)</t>
  </si>
  <si>
    <t>Sands (2001)</t>
  </si>
  <si>
    <t>3-PG</t>
  </si>
  <si>
    <t>Sands and Landsberg (2002)</t>
  </si>
  <si>
    <t>Battaglia and Sands (1997)</t>
  </si>
  <si>
    <t>PROMOD</t>
  </si>
  <si>
    <t>Battaglia and Sands (1998)</t>
  </si>
  <si>
    <t>Battaglia et al (2004)</t>
  </si>
  <si>
    <t>CABALA</t>
  </si>
  <si>
    <t>Miehle et al. (2010)</t>
  </si>
  <si>
    <t>MoBiLE-PDT</t>
  </si>
  <si>
    <t>Almeida et al. (2004)</t>
  </si>
  <si>
    <t>E. grandis</t>
  </si>
  <si>
    <t>Birk and Turner (1992)</t>
  </si>
  <si>
    <t>Crechi et al. (2011)</t>
  </si>
  <si>
    <t>Lima et al. (1990)</t>
  </si>
  <si>
    <t>Nouvellon et al. (2012)</t>
  </si>
  <si>
    <t>Silva et al. (2011)</t>
  </si>
  <si>
    <t>Turner and Lambert (1983)</t>
  </si>
  <si>
    <t>Leuning et al. (1991)</t>
  </si>
  <si>
    <t>MAESTRO</t>
  </si>
  <si>
    <t>Borges et al. (2012)</t>
  </si>
  <si>
    <t>E. grandis x E. urophylla hybrid</t>
  </si>
  <si>
    <t>Stape et al. (2004)</t>
  </si>
  <si>
    <t>Brasilien</t>
  </si>
  <si>
    <t>Harrington (1979)</t>
  </si>
  <si>
    <t>E. intertexta</t>
  </si>
  <si>
    <t>Oconnell (1990)</t>
  </si>
  <si>
    <t>E. marginata</t>
  </si>
  <si>
    <t>Medhurst et al. (1999)</t>
  </si>
  <si>
    <t>E. nitens</t>
  </si>
  <si>
    <t>Australien, Neuseeland</t>
  </si>
  <si>
    <t>Battaglia et al. (1999)</t>
  </si>
  <si>
    <t>E. nitens, globulus</t>
  </si>
  <si>
    <t>NitGro/ProMOD</t>
  </si>
  <si>
    <t>Stape etal_2004_3PG (2004)</t>
  </si>
  <si>
    <t>3PG</t>
  </si>
  <si>
    <t>Brazil</t>
  </si>
  <si>
    <t>E. pellita</t>
  </si>
  <si>
    <t>E. populnea</t>
  </si>
  <si>
    <t>England and Attiwill (2006)</t>
  </si>
  <si>
    <t>E. regnans</t>
  </si>
  <si>
    <t>Vertessy et al. (1996)</t>
  </si>
  <si>
    <t>Topog-IRM</t>
  </si>
  <si>
    <t>E. urophylla</t>
  </si>
  <si>
    <t>Cernusak et al. (2011)</t>
  </si>
  <si>
    <t>miscellaneous</t>
  </si>
  <si>
    <t>Goncalves et al. (2004)</t>
  </si>
  <si>
    <t>Stape et al. (2004b)</t>
  </si>
  <si>
    <t>Stape et al. (2010)</t>
  </si>
  <si>
    <t>Whitehead and Beadle (2004)</t>
  </si>
  <si>
    <t>Modellparameter aus Papern – alle Paper auch im Ordner Literatur</t>
  </si>
  <si>
    <t>Almeida_etal_2004</t>
  </si>
  <si>
    <t>Battaglia_Sands_1998</t>
  </si>
  <si>
    <t>Battaglia_Sands_1997</t>
  </si>
  <si>
    <t>Borges_etal_2012</t>
  </si>
  <si>
    <t>Kirschbaum_etal_2007</t>
  </si>
  <si>
    <t>Sands_2001</t>
  </si>
  <si>
    <t>Sands_Landsberg_2002</t>
  </si>
  <si>
    <t>Vertessy_1996</t>
  </si>
  <si>
    <t>Leuning_etal_1991</t>
  </si>
  <si>
    <t>references with additional data that are currently not used</t>
  </si>
  <si>
    <t>data</t>
  </si>
  <si>
    <t>DBH, height, basal area, stocking, volume, wood biomass</t>
  </si>
  <si>
    <t>reference</t>
  </si>
  <si>
    <t xml:space="preserve">Stape et al. 2004, Water use, water limitation, and water use efficiency in a Eucalyptus plantation </t>
  </si>
  <si>
    <t>Stape et al. 2010, The Brazil Eucalyptus Potential Productivity Project: Influence of water, nutrients and stand uniformity on wood production</t>
  </si>
  <si>
    <t>light use efficiency, LAI</t>
  </si>
  <si>
    <t>Whitehead and Beadle 2004, Physiological regulation of productivity and water use in Eucalyptus: a review, Forest Ecology and Management</t>
  </si>
  <si>
    <t>leaf nitrogen (N) and phosphorus (P) concentrations</t>
  </si>
  <si>
    <t>maximum stomatal conductance (gsmax) maximum photosynthesis rates (Amax) maximum rates of carboxylation activity (Vcmax) and rates of electron transport at saturating irradiance (Jmax)</t>
  </si>
  <si>
    <t>Response of stomatal conductance gs to air saturation deficit D, light use efficiency [g dry matter  MJ-1]</t>
  </si>
  <si>
    <t>Dry weight biomass prediction equations (mass of tree components such as foliage, branches, roots calculated from diameter, height, DBH, basal area)</t>
  </si>
  <si>
    <t>Total mean height, DBH and basal area of Eucalyptus spp. according to age and spacing</t>
  </si>
  <si>
    <t>Average dry weight per tree for each plant component of Eucalyptus spp. by spacing at age 41 months</t>
  </si>
  <si>
    <t>Total dry weight per hectare of plant components of Eucalyptus spp. by spacing at age 41 months</t>
  </si>
  <si>
    <t>Bernardo et al. 1997, Effect of spacing on growth and biomass distribution in Eucalyptus camaldulensis, E. pellita and E. urophylla plantations in southeastern Brazil</t>
  </si>
  <si>
    <t>regression equations for calculating stem, stemwood, stembark, leave and branch dry weight from height and DBH (Table 1)</t>
  </si>
  <si>
    <t>Hingston and Galbraith 1997, Application of the process-based model BIOMASS to Eucalyptus globulus ssp. globulus plantations on ex-farmland in south western Australia II. Stemwood production and seasonal growth</t>
  </si>
  <si>
    <t>Biomass models of Eucalyptus grandis components (in supplementary information, available online) – dry matter of leaves, stem wood, bark etc. calculated from height, diameter, crown area etc.</t>
  </si>
  <si>
    <t xml:space="preserve">Nouvellon et al 2012, Production and carbon allocation in monocultures and mixed-species plantations of Eucalyptus grandis and Acacia mangium in Brazil, Tree Physiol (2012) 32(6): 680-695 doi:10.1093/treephys/tps041 </t>
  </si>
  <si>
    <t>NOTE</t>
  </si>
  <si>
    <t>in the text mentioned measurements of tree height and crown diameter of single trees</t>
  </si>
  <si>
    <t>respiration coefficient for leaf, stem, root (calibrated parameter from model)</t>
  </si>
  <si>
    <t>Vertessy et al. 1996, Long-term growth and water balance predictions for a mountain ash (Eucalyptus regnans) forest catchment subject to clear-felling and regeneration</t>
  </si>
  <si>
    <t>there seem to be lots of stand data available not published in the paper (DBH, biomass production of compartiments, allometric relationships etc.) → maybe directly ask the authors</t>
  </si>
  <si>
    <t>Stape et al. (2004): Eucalyptus production and the supply, use and efficiency of use of water, light and nitrogen across a geographic gradient in Brazil</t>
  </si>
  <si>
    <t>DBH and tree height for 3 year-old trees from different sites in South Africa (not published in paper)</t>
  </si>
  <si>
    <t>Willigen and Panmenter (1998): Relationship between growth and xylem hydraulic characteristics of clones of Eucalyptus spp. at contrasting sites</t>
  </si>
  <si>
    <t>„time series of intensive measurements over 5 years in an experimental catchment, and data from physiological measurements“ (not published in paper → contact authors); maybe additional information in Table 3</t>
  </si>
  <si>
    <t>Almeida et al. (2004): Parameterisation of 3-PG model for fast-growing Eucalyptus grandis plantations</t>
  </si>
  <si>
    <t>same values as in Sands and Landsberg (2002); user manual of 3-PG with parameter list</t>
  </si>
  <si>
    <t>Sands (2001): 3PGpjs – a User-Friendly Interface to 3-PG, the Landsberg and Waring Model of Forest Productivity</t>
  </si>
  <si>
    <t>several branch and steam variables from experimental plots</t>
  </si>
  <si>
    <t>Medhurst et al. (1999): Allometric relationships for Eucalyptus nitens (Deane and Maiden) Maiden plantations</t>
  </si>
  <si>
    <t>mean stand height, DBH. Volume, LAI etc. for different stands under irrigation treatments for different ages</t>
  </si>
  <si>
    <t>Myers et al. (1996): Growth and water use of Eucalyptus grandis and Pinus radiata plantations irrigated with effluent</t>
  </si>
  <si>
    <t>biomass increment of E. Grandis; tables 2, 3, 6</t>
  </si>
  <si>
    <t>Turner (1986): Organic Matter Accumulation in a Series of Eucalyptus grandis Plantations</t>
  </si>
  <si>
    <t>data measured in sample trees: total height, wood density, wood volume, specific leaf area, biomass (dry weight) of leaves, branches, bark, root and wood</t>
  </si>
  <si>
    <t>parameter values for 3-PG</t>
  </si>
  <si>
    <t xml:space="preserve">Borges, Jarbas Silva, et al. "Parameterization of the 3-PG model for eucalypt in the Region of Cerrado in Minas Gerais State." Ciência Florestal 22.3 (2012). </t>
  </si>
  <si>
    <t>Measurements of total tree height, crown length and diameter at breast height were made in January 2002, 2003, 2005 and 2006</t>
  </si>
  <si>
    <t>-&gt; Carboeuroflux-Site in Southern Portugal</t>
  </si>
  <si>
    <t>MEDHURST, J. L., M. BATTAGLIA, M. L. CHERRY, M. A. HUNT, D. A. WHITE, C. L. BEADLE, 1999: Allometric relationships for Eucalyptus nitens (Deane and Maiden) Maiden plantations. -- Trees-Struct. Funct. 14, 91-101.</t>
  </si>
  <si>
    <t>V crown volume</t>
  </si>
  <si>
    <t>H</t>
  </si>
  <si>
    <t>V</t>
  </si>
  <si>
    <t>Hmodel</t>
  </si>
  <si>
    <t>CK-F</t>
  </si>
  <si>
    <t>sla=4.8m²/kg</t>
  </si>
  <si>
    <t>leaf area density [m²/m³</t>
  </si>
  <si>
    <t>H[m]</t>
  </si>
  <si>
    <t>lnH</t>
  </si>
  <si>
    <t>lnV</t>
  </si>
  <si>
    <t>V [m³]</t>
  </si>
  <si>
    <t>leaf mass [kg]</t>
  </si>
  <si>
    <t>p1</t>
  </si>
  <si>
    <t>p2</t>
  </si>
  <si>
    <t>V[m³]</t>
  </si>
  <si>
    <t>p3</t>
  </si>
  <si>
    <t>LI</t>
  </si>
  <si>
    <t>GC-200</t>
  </si>
  <si>
    <t>GC_725</t>
  </si>
  <si>
    <t>pha_v1</t>
  </si>
  <si>
    <t>pha_v2</t>
  </si>
  <si>
    <t>pha_v3</t>
  </si>
  <si>
    <t>cm</t>
  </si>
  <si>
    <t>m³</t>
  </si>
  <si>
    <t>m</t>
  </si>
  <si>
    <t>DBH</t>
  </si>
  <si>
    <t>lnDBH</t>
  </si>
  <si>
    <t>BARNARD, H. R., M. G. RYAN, 2003: A test of the hydraulic limitation hypothesis in fast-growing Eucalyptus saligna. -- Plant Cell Environ. 26, 1235-1245.</t>
  </si>
  <si>
    <t xml:space="preserve">D </t>
  </si>
  <si>
    <t>Lc</t>
  </si>
  <si>
    <t>HBC</t>
  </si>
  <si>
    <t>Fkt. Nutto</t>
  </si>
  <si>
    <t>Nutto, L., Spathelf, P., Seling, I. (2006): MANAGEMENT OF INDIVIDUAL TREE DIAMETER GROWTH AND IMPLICATIONS FOR PRUNING FOR BRAZILIAN Eucalyptus grandis Hill ex Maiden. FLORESTA 36(3), 397-413.</t>
  </si>
  <si>
    <t>maximum crown width</t>
  </si>
  <si>
    <t>linear</t>
  </si>
  <si>
    <t>Annahme</t>
  </si>
  <si>
    <t>Lichtverf. (%)</t>
  </si>
  <si>
    <t>psla = psla_min+psla*(1-irel)</t>
  </si>
  <si>
    <t xml:space="preserve">nach </t>
  </si>
  <si>
    <t>Miehle, P., Livesley, S. J., Feikema, P. M., Li, C., Arndt, S. K. (2006): Assessing productivity and carbon sequestration capacity of Eucalyptus globulus plantations using the process model Forest-DNDC: Calibration and validation. Ecological Modelling 192(1-2), 83-94.</t>
  </si>
  <si>
    <t>Borges Silva, J., Lima Neves, J. C., Maycon Lourenco, H., de Barros, N. F., Moreira Dias, S. C. (2012): Parameterization of the 3-PG model for eucalypt in the region of Cerrado in Minais Gerais State. Ciência Florestal 22(3), 567-578.</t>
  </si>
  <si>
    <t>siehe  cr_frac</t>
  </si>
  <si>
    <t>wie Birke ( Ellenberg, M. Gutsch)</t>
  </si>
  <si>
    <t>stol=1</t>
  </si>
  <si>
    <t>Ryan, M. G., Stape, J. L., Binkley, D., Fonseca, S., Loos, R. A., Takahashi, E. N., Silva, C. R., Silva, S. R., Hakamada, R. E., Ferreira, J. M., Lima, A. M. N., Gava, J. L., Leite, F. P., Andrade, H. B., Alves, J. M., Silva, G. G. C. (2010): Factors controlling Eucalyptus productivity: How water availability and stand structure alter production and carbon allocation. Forest Ecology And Management 259(9), 1695-1703.</t>
  </si>
  <si>
    <t>aus table 2</t>
  </si>
  <si>
    <t>Wbole</t>
  </si>
  <si>
    <t>Croots</t>
  </si>
  <si>
    <t>B+C</t>
  </si>
  <si>
    <t>B+C/Wbole</t>
  </si>
  <si>
    <t>C/B+C</t>
  </si>
  <si>
    <t>Aracruz_unirr</t>
  </si>
  <si>
    <t>A_irr</t>
  </si>
  <si>
    <t>Suzano</t>
  </si>
  <si>
    <t>S_irr.</t>
  </si>
  <si>
    <t>int.paper</t>
  </si>
  <si>
    <t>IP_irr.</t>
  </si>
  <si>
    <t>Veracel</t>
  </si>
  <si>
    <t>V_irr.</t>
  </si>
  <si>
    <t xml:space="preserve">Rodrigues, Abel, et al. "Eight years of continuous carbon fluxes measurements in a Portuguese eucalypt stand under two main events: Drought and felling." Agricultural and Forest Meteorology 151.4 (2011): 493-507. </t>
  </si>
  <si>
    <t>maybe some additional useful information within Appendix C</t>
  </si>
  <si>
    <t>Kirschbaum et al. (2007): Modelling net ecosystem carbon and water exchange of a temperate Eucalyptus delegatensis forest using multiple constraints</t>
  </si>
  <si>
    <t>maybe some further parameters than only canopy extinction useful for 4C (see Tab. 2)?! (Maybe more parameters within Battaglia and Sands (1997) which cannot derived via PIK)</t>
  </si>
  <si>
    <t>Battaglia and Sands (1998): Application of sensitivity analysis to a model of Eucalyptus globulus plantation productivity</t>
  </si>
  <si>
    <t>measurements of tree height, diameter at breast height (DBH), leaf area, sapwood area, moisture fraction, wood density and sapwood wound widths recorded for each sample tree</t>
  </si>
  <si>
    <t>Dye_Olbrich_1993 (Ordner unwichtig)</t>
  </si>
  <si>
    <t>Sands, P. J.; Landsberg, J. J. (2002): Parameterisation of 3-PG for plantation grown Eucalyptus globulus. In: Forest Ecology and Management 163 (1–3), S. 273–292.</t>
  </si>
  <si>
    <t>Maximum stand age used to define relative age</t>
  </si>
  <si>
    <t>Value</t>
  </si>
  <si>
    <t>Unit</t>
  </si>
  <si>
    <t>years</t>
  </si>
  <si>
    <t>species</t>
  </si>
  <si>
    <r>
      <t>Pérez-Cruzado et al. (2011): Combining empirical models and the process-based model 3-PG to predict</t>
    </r>
    <r>
      <rPr>
        <b/>
        <i/>
        <sz val="10"/>
        <rFont val="Arial"/>
        <family val="2"/>
      </rPr>
      <t xml:space="preserve"> Eucalyptus nitens</t>
    </r>
    <r>
      <rPr>
        <i/>
        <sz val="10"/>
        <rFont val="Arial"/>
        <family val="2"/>
      </rPr>
      <t xml:space="preserve"> plantations growth in Spain. In: Forest Ecology and Management 262 (2011) 1067–1077</t>
    </r>
  </si>
  <si>
    <t xml:space="preserve">Parameter </t>
  </si>
  <si>
    <t>Maximum age used to define relative age</t>
  </si>
  <si>
    <t>Withers, Jennifer R. "Studies on the status of unburnt Eucalyptus woodland at Ocean Grove, Victoria. IV. The effect of shading on seedling establishment." Australian Journal of Botany 27.1 (1979): 47-66.</t>
  </si>
  <si>
    <t>Notes</t>
  </si>
  <si>
    <r>
      <t>“</t>
    </r>
    <r>
      <rPr>
        <b/>
        <i/>
        <sz val="10"/>
        <rFont val="Arial"/>
        <family val="2"/>
      </rPr>
      <t xml:space="preserve">Eucalyptus ovata </t>
    </r>
    <r>
      <rPr>
        <i/>
        <sz val="10"/>
        <rFont val="Arial"/>
        <family val="2"/>
      </rPr>
      <t>seedlings all died under prolonged intense shading”</t>
    </r>
  </si>
  <si>
    <t>-&gt; not yet downloaded</t>
  </si>
  <si>
    <t xml:space="preserve">less than 8% of daylight </t>
  </si>
  <si>
    <r>
      <t xml:space="preserve">Ranatunga et al. (2008): Effects of harvest management practices on forest biomass and soil carbon in eucalypt forests in New South Wales, Australia: Simulations with the forest succession model </t>
    </r>
    <r>
      <rPr>
        <b/>
        <sz val="10"/>
        <rFont val="Arial"/>
        <family val="2"/>
      </rPr>
      <t>LINKAGES</t>
    </r>
  </si>
  <si>
    <t>parameters for shade tolerance equation (Table 1/Appendix B)</t>
  </si>
  <si>
    <t>T1 (°C)</t>
  </si>
  <si>
    <t>T2 (°C)</t>
  </si>
  <si>
    <t>T3 (°C)</t>
  </si>
  <si>
    <r>
      <t xml:space="preserve">Sands, P. J.; Landsberg, J. J. (2002): Parameterisation of </t>
    </r>
    <r>
      <rPr>
        <b/>
        <sz val="10"/>
        <rFont val="Arial"/>
        <family val="2"/>
      </rPr>
      <t>3-PG</t>
    </r>
    <r>
      <rPr>
        <sz val="10"/>
        <rFont val="Arial"/>
        <family val="2"/>
      </rPr>
      <t xml:space="preserve"> for plantation grown Eucalyptus globulus. In: Forest Ecology and Management 163 (1–3), S. 273–292.</t>
    </r>
  </si>
  <si>
    <t>Extinction coefficient for absorption of PAR by canopy</t>
  </si>
  <si>
    <t>-</t>
  </si>
  <si>
    <t>Light extinction coefficient</t>
  </si>
  <si>
    <t>Light extinction coefficient estimated from direct measurements of LAI and APAR</t>
  </si>
  <si>
    <r>
      <t xml:space="preserve">Borges, Jarbas Silva, et al. (2012) "Parameterization of the </t>
    </r>
    <r>
      <rPr>
        <b/>
        <sz val="10"/>
        <rFont val="Arial"/>
        <family val="2"/>
      </rPr>
      <t>3-PG</t>
    </r>
    <r>
      <rPr>
        <sz val="10"/>
        <rFont val="Arial"/>
        <family val="2"/>
      </rPr>
      <t xml:space="preserve"> model for eucalypt in the Region of Cerrado in Minas Gerais State." Ciência Florestal 22.3 . </t>
    </r>
  </si>
  <si>
    <t>Note</t>
  </si>
  <si>
    <t>standard value of 3-PG model</t>
  </si>
  <si>
    <r>
      <t xml:space="preserve">Battaglia and Sands (1998): Application of sensitivity analysis to a model of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 xml:space="preserve"> plantation productivity</t>
    </r>
  </si>
  <si>
    <r>
      <t xml:space="preserve">Battaglia and Sands (1997): Modelling site productivity of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 xml:space="preserve"> in response to climatic and site factors</t>
    </r>
  </si>
  <si>
    <t>Canopy extinction coefficient</t>
  </si>
  <si>
    <t>not sure whether this is the right parameter?!</t>
  </si>
  <si>
    <t>m² ground m-2 leaf</t>
  </si>
  <si>
    <r>
      <t xml:space="preserve">Miehle et al. (2010): Evaluation of a process-based ecosystem model for long-term biomass and stand development of </t>
    </r>
    <r>
      <rPr>
        <b/>
        <sz val="10"/>
        <rFont val="Arial"/>
        <family val="2"/>
      </rPr>
      <t>Eucalyptus globulus</t>
    </r>
    <r>
      <rPr>
        <sz val="10"/>
        <rFont val="Arial"/>
        <family val="2"/>
      </rPr>
      <t xml:space="preserve"> plantations (from Battaglia and Sands (1997))</t>
    </r>
  </si>
  <si>
    <r>
      <t xml:space="preserve">Pérez-Cruzado (2011) Combining empirical models and the process-based model </t>
    </r>
    <r>
      <rPr>
        <b/>
        <sz val="10"/>
        <rFont val="Arial"/>
        <family val="2"/>
      </rPr>
      <t>3-PG</t>
    </r>
    <r>
      <rPr>
        <sz val="10"/>
        <rFont val="Arial"/>
        <family val="2"/>
      </rPr>
      <t xml:space="preserve"> to predict </t>
    </r>
    <r>
      <rPr>
        <b/>
        <sz val="10"/>
        <rFont val="Arial"/>
        <family val="2"/>
      </rPr>
      <t>Eucalyptus nitens</t>
    </r>
    <r>
      <rPr>
        <sz val="10"/>
        <rFont val="Arial"/>
        <family val="2"/>
      </rPr>
      <t xml:space="preserve"> plantations growth in Spain. Forest Ecology and Management 262 (2011) 1067–1077 </t>
    </r>
  </si>
  <si>
    <t>Extinction coefficient for absorption of PAR</t>
  </si>
  <si>
    <r>
      <t xml:space="preserve">Corbeels et al. (2005b) A process-based model of nitrogen cycling in forest plantations. Part II. Simulating growth and nitrogen mineralisation of </t>
    </r>
    <r>
      <rPr>
        <b/>
        <sz val="10"/>
        <rFont val="Arial"/>
        <family val="2"/>
      </rPr>
      <t>E. globulus</t>
    </r>
    <r>
      <rPr>
        <sz val="10"/>
        <rFont val="Arial"/>
        <family val="2"/>
      </rPr>
      <t xml:space="preserve"> plantations in south-western Australia. Ecol Modell 187:449–474</t>
    </r>
  </si>
  <si>
    <r>
      <t xml:space="preserve">in Miehle et al 2010, für </t>
    </r>
    <r>
      <rPr>
        <b/>
        <sz val="10"/>
        <rFont val="Arial"/>
        <family val="2"/>
      </rPr>
      <t>E. globulus</t>
    </r>
  </si>
  <si>
    <t>Stape et al. (2008): Production and carbon allocation in a clonal Eucalyptus plantation with water and nutrient manipulations</t>
  </si>
  <si>
    <t>Lambert-Beer extinction coefficient</t>
  </si>
  <si>
    <t>Verweis auf Runyon et al. (1994)</t>
  </si>
  <si>
    <r>
      <t xml:space="preserve">Myers et al. (1996): Growth and water use of </t>
    </r>
    <r>
      <rPr>
        <b/>
        <sz val="10"/>
        <rFont val="Arial"/>
        <family val="2"/>
      </rPr>
      <t>Eucalyptus grandis</t>
    </r>
    <r>
      <rPr>
        <sz val="10"/>
        <rFont val="Arial"/>
        <family val="2"/>
      </rPr>
      <t xml:space="preserve"> and Pinus radiata plantations irrigated with effluent</t>
    </r>
  </si>
  <si>
    <t>light extinction coefficient</t>
  </si>
  <si>
    <t>Warren and Adams (2007): Uptake of nitrate, ammonium and glycine by plants of Tasmanian wet eucalypt forests</t>
  </si>
  <si>
    <r>
      <t>E. obliqua</t>
    </r>
    <r>
      <rPr>
        <sz val="10"/>
        <rFont val="Arial"/>
        <family val="2"/>
      </rPr>
      <t xml:space="preserve"> </t>
    </r>
  </si>
  <si>
    <t>Mean N uptake by intact roots (Rate of uptake was determined by incubating intact attached roots in equimolar (100 μmol l–1) solutions of nitrate, ammonium and glycine)</t>
  </si>
  <si>
    <t>NO3-</t>
  </si>
  <si>
    <t>NH4</t>
  </si>
  <si>
    <t>Glycin (Aminoessigsäure, enthält 1 N)</t>
  </si>
  <si>
    <t>Korrektur:</t>
  </si>
  <si>
    <t>0.9 (+/-1.2)</t>
  </si>
  <si>
    <t>11 (+/-5)</t>
  </si>
  <si>
    <t>4.4 (+/-2.6)</t>
  </si>
  <si>
    <r>
      <t>m</t>
    </r>
    <r>
      <rPr>
        <sz val="10"/>
        <rFont val="Arial"/>
        <family val="2"/>
      </rPr>
      <t xml:space="preserve">mol/(g DM h) </t>
    </r>
  </si>
  <si>
    <r>
      <t>m</t>
    </r>
    <r>
      <rPr>
        <sz val="10"/>
        <rFont val="Arial"/>
        <family val="2"/>
      </rPr>
      <t xml:space="preserve">mol/(kg DM h) </t>
    </r>
  </si>
  <si>
    <r>
      <t>m</t>
    </r>
    <r>
      <rPr>
        <sz val="10"/>
        <rFont val="Arial"/>
        <family val="2"/>
      </rPr>
      <t xml:space="preserve">mol/(kg DM year) </t>
    </r>
  </si>
  <si>
    <t>Hochrechnung auf das gesamte Jahr ist problematisch!</t>
  </si>
  <si>
    <r>
      <t>m</t>
    </r>
    <r>
      <rPr>
        <sz val="10"/>
        <rFont val="Arial"/>
        <family val="2"/>
      </rPr>
      <t>mol/(kg DM yr)</t>
    </r>
  </si>
  <si>
    <r>
      <t>m</t>
    </r>
    <r>
      <rPr>
        <sz val="10"/>
        <rFont val="Calibri"/>
        <family val="2"/>
      </rPr>
      <t>g</t>
    </r>
    <r>
      <rPr>
        <sz val="10"/>
        <rFont val="Arial"/>
        <family val="2"/>
      </rPr>
      <t xml:space="preserve">/(kg DM year) </t>
    </r>
  </si>
  <si>
    <t>mol/(kg DM yr)</t>
  </si>
  <si>
    <t>kg N/(kg DM yr)</t>
  </si>
  <si>
    <t>g N/(kg DM yr)</t>
  </si>
  <si>
    <t>wegen Hochrechnung mit 24 h Wert halbieren,</t>
  </si>
  <si>
    <t xml:space="preserve"> d.h. Aufnahme über 12 h berücksichtigen</t>
  </si>
  <si>
    <t>Warren, C. R. (2006): Potential organic and inorganic N uptake by six Eucalyptus species. Funct. Plant Biol. 33(7), 653-660.</t>
  </si>
  <si>
    <t>for six Eucalyptus species (nictens, viminalis, globulus, botryoidis, saligna, grandis)</t>
  </si>
  <si>
    <t>site</t>
  </si>
  <si>
    <t>Mt. Worth</t>
  </si>
  <si>
    <t>Glecoe</t>
  </si>
  <si>
    <t>kgN/kg DM/year</t>
  </si>
  <si>
    <r>
      <t>Almeida et al. (2004): Parameterisation of</t>
    </r>
    <r>
      <rPr>
        <b/>
        <sz val="10"/>
        <rFont val="Arial"/>
        <family val="2"/>
      </rPr>
      <t xml:space="preserve"> 3-PG </t>
    </r>
    <r>
      <rPr>
        <sz val="10"/>
        <rFont val="Arial"/>
        <family val="2"/>
      </rPr>
      <t>model for fast-growing Eucalyptus grandis plantations</t>
    </r>
  </si>
  <si>
    <t>„ratio of net primary production (PN) to PG is taken to be constant at 0.47 +/- 0.04 (Arneth et al., 1998; Waring et al., 1998)“</t>
  </si>
  <si>
    <r>
      <t xml:space="preserve">fraction of respiration = 1-0.47+/-0.04 = </t>
    </r>
    <r>
      <rPr>
        <b/>
        <sz val="10"/>
        <rFont val="Arial"/>
        <family val="2"/>
      </rPr>
      <t>0.53</t>
    </r>
    <r>
      <rPr>
        <sz val="10"/>
        <rFont val="Arial"/>
        <family val="2"/>
      </rPr>
      <t>+/-0,04</t>
    </r>
  </si>
  <si>
    <t>Keith et al. (2009): Multiple measurements constrain estimates of net carbon exchange by a Eucalyptus forest</t>
  </si>
  <si>
    <r>
      <t xml:space="preserve">forest with predominantly </t>
    </r>
    <r>
      <rPr>
        <b/>
        <sz val="10"/>
        <rFont val="Arial"/>
        <family val="2"/>
      </rPr>
      <t>E. delegatensis</t>
    </r>
  </si>
  <si>
    <t>Photosynthesis [tC ha-1 yr-1]</t>
  </si>
  <si>
    <t>95% conf. Limits</t>
  </si>
  <si>
    <t>20,3-24,0</t>
  </si>
  <si>
    <t>17,5-20,4</t>
  </si>
  <si>
    <t>Autotrophic Respiration [tC ha-1 yr-1]</t>
  </si>
  <si>
    <t>7,8-9,5</t>
  </si>
  <si>
    <t>7,6-9,4</t>
  </si>
  <si>
    <t>0,3-0,5</t>
  </si>
  <si>
    <t>0,4-0,5</t>
  </si>
  <si>
    <t>Oct 2001 – sept 2002</t>
  </si>
  <si>
    <t>Oct 2002 – sept 2003</t>
  </si>
  <si>
    <t>Miehle (2006)</t>
  </si>
  <si>
    <r>
      <t xml:space="preserve">Respiration as fraction of </t>
    </r>
    <r>
      <rPr>
        <b/>
        <sz val="10"/>
        <rFont val="Arial"/>
        <family val="2"/>
      </rPr>
      <t>maximum</t>
    </r>
    <r>
      <rPr>
        <sz val="10"/>
        <rFont val="Arial"/>
        <family val="2"/>
      </rPr>
      <t xml:space="preserve"> photosynthesis</t>
    </r>
  </si>
  <si>
    <r>
      <t xml:space="preserve">parametrization of </t>
    </r>
    <r>
      <rPr>
        <b/>
        <sz val="10"/>
        <rFont val="Arial"/>
        <family val="2"/>
      </rPr>
      <t>E. Delegatensis</t>
    </r>
    <r>
      <rPr>
        <sz val="10"/>
        <rFont val="Arial"/>
        <family val="2"/>
      </rPr>
      <t xml:space="preserve"> for model </t>
    </r>
    <r>
      <rPr>
        <b/>
        <sz val="10"/>
        <rFont val="Arial"/>
        <family val="2"/>
      </rPr>
      <t>CenW</t>
    </r>
  </si>
  <si>
    <t>Growth respiration</t>
  </si>
  <si>
    <t>kg / kg</t>
  </si>
  <si>
    <t>Construction respiratory coefficient</t>
  </si>
  <si>
    <r>
      <t xml:space="preserve">Miehle et al. (2006), f. </t>
    </r>
    <r>
      <rPr>
        <b/>
        <sz val="10"/>
        <rFont val="Arial"/>
        <family val="2"/>
      </rPr>
      <t>Eucalyptus globulus</t>
    </r>
  </si>
  <si>
    <t>Growth respiration as a fraction of allocated carbon</t>
  </si>
  <si>
    <t>/</t>
  </si>
  <si>
    <t>Woody-tissue maintenance respiratory coefficient at 20°C</t>
  </si>
  <si>
    <t>Q10 = 1.3, siehe Tabelle 5, Parameter km</t>
  </si>
  <si>
    <t>andere Einheit (Koeffizient!)</t>
  </si>
  <si>
    <t>Battaglia (2004)</t>
  </si>
  <si>
    <t>Specific coarse-root sapwood respiration (for N driven respiration)</t>
  </si>
  <si>
    <t xml:space="preserve">kg C/kg N </t>
  </si>
  <si>
    <t>Specific fine-root sapwood respiration (for N driven respiration)</t>
  </si>
  <si>
    <t>kg C/kg N</t>
  </si>
  <si>
    <t>Q10: 1,3</t>
  </si>
  <si>
    <r>
      <t xml:space="preserve">Marsden et al. (2008): Two independent estimations of stand-level root respiration on </t>
    </r>
    <r>
      <rPr>
        <b/>
        <sz val="10"/>
        <rFont val="Arial"/>
        <family val="2"/>
      </rPr>
      <t xml:space="preserve">clonal </t>
    </r>
    <r>
      <rPr>
        <b/>
        <i/>
        <sz val="10"/>
        <rFont val="Arial"/>
        <family val="2"/>
      </rPr>
      <t>Eucalyptus</t>
    </r>
    <r>
      <rPr>
        <sz val="10"/>
        <rFont val="Arial"/>
        <family val="2"/>
      </rPr>
      <t xml:space="preserve"> stands in Congo: up scaling of direct measurements on roots versus the trenched-plot technique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</si>
</sst>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0"/>
    <numFmt numFmtId="171" formatCode="0.0000"/>
    <numFmt numFmtId="172" formatCode="0.000"/>
  </numFmts>
  <fonts count="28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0"/>
      <color indexed="10"/>
      <name val="Arial"/>
      <family val="2"/>
    </font>
    <font>
      <sz val="10"/>
      <name val="Symbol"/>
      <family val="1"/>
      <charset val="2"/>
    </font>
    <font>
      <sz val="10"/>
      <color indexed="10"/>
      <name val="Arial"/>
      <family val="2"/>
    </font>
    <font>
      <sz val="10"/>
      <name val="Calibri"/>
      <family val="2"/>
    </font>
    <font>
      <b/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color indexed="62"/>
      <name val="Arial"/>
      <family val="2"/>
    </font>
    <font>
      <i/>
      <sz val="10"/>
      <color indexed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7"/>
      <name val="Times New Roman"/>
      <family val="1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9"/>
        <bgColor indexed="45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21" fillId="0" borderId="0"/>
    <xf numFmtId="0" fontId="1" fillId="0" borderId="0"/>
    <xf numFmtId="0" fontId="24" fillId="0" borderId="0"/>
  </cellStyleXfs>
  <cellXfs count="92">
    <xf numFmtId="0" fontId="0" fillId="0" borderId="0" xfId="0"/>
    <xf numFmtId="0" fontId="2" fillId="0" borderId="0" xfId="0" applyFont="1"/>
    <xf numFmtId="0" fontId="3" fillId="0" borderId="0" xfId="1" applyNumberFormat="1" applyFont="1" applyFill="1" applyBorder="1" applyAlignment="1" applyProtection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wrapText="1"/>
    </xf>
    <xf numFmtId="0" fontId="21" fillId="0" borderId="0" xfId="2"/>
    <xf numFmtId="0" fontId="2" fillId="0" borderId="0" xfId="2" applyFont="1"/>
    <xf numFmtId="0" fontId="0" fillId="2" borderId="0" xfId="2" applyFont="1" applyFill="1"/>
    <xf numFmtId="0" fontId="0" fillId="3" borderId="0" xfId="2" applyFont="1" applyFill="1"/>
    <xf numFmtId="0" fontId="0" fillId="4" borderId="0" xfId="2" applyFont="1" applyFill="1"/>
    <xf numFmtId="0" fontId="5" fillId="0" borderId="0" xfId="0" applyFont="1"/>
    <xf numFmtId="0" fontId="0" fillId="0" borderId="0" xfId="0" applyNumberFormat="1"/>
    <xf numFmtId="0" fontId="0" fillId="0" borderId="0" xfId="0" applyFont="1" applyAlignment="1"/>
    <xf numFmtId="0" fontId="0" fillId="0" borderId="0" xfId="0" applyFill="1"/>
    <xf numFmtId="0" fontId="0" fillId="2" borderId="0" xfId="0" applyFill="1"/>
    <xf numFmtId="0" fontId="6" fillId="0" borderId="0" xfId="0" applyFont="1"/>
    <xf numFmtId="0" fontId="7" fillId="2" borderId="0" xfId="0" applyFont="1" applyFill="1"/>
    <xf numFmtId="0" fontId="7" fillId="0" borderId="0" xfId="0" applyFont="1"/>
    <xf numFmtId="0" fontId="8" fillId="0" borderId="0" xfId="0" applyFont="1"/>
    <xf numFmtId="2" fontId="10" fillId="2" borderId="0" xfId="0" applyNumberFormat="1" applyFont="1" applyFill="1"/>
    <xf numFmtId="0" fontId="11" fillId="0" borderId="0" xfId="0" applyFont="1"/>
    <xf numFmtId="2" fontId="0" fillId="0" borderId="0" xfId="0" applyNumberFormat="1" applyFont="1" applyProtection="1">
      <protection locked="0"/>
    </xf>
    <xf numFmtId="2" fontId="0" fillId="0" borderId="0" xfId="0" applyNumberFormat="1"/>
    <xf numFmtId="16" fontId="0" fillId="0" borderId="0" xfId="0" applyNumberFormat="1" applyFont="1"/>
    <xf numFmtId="0" fontId="2" fillId="0" borderId="0" xfId="0" applyFont="1" applyFill="1"/>
    <xf numFmtId="0" fontId="0" fillId="0" borderId="0" xfId="0" applyFont="1" applyFill="1"/>
    <xf numFmtId="0" fontId="12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2" borderId="0" xfId="0" applyFont="1" applyFill="1"/>
    <xf numFmtId="0" fontId="10" fillId="2" borderId="0" xfId="0" applyFont="1" applyFill="1"/>
    <xf numFmtId="0" fontId="5" fillId="0" borderId="0" xfId="0" applyFont="1" applyFill="1"/>
    <xf numFmtId="0" fontId="4" fillId="0" borderId="0" xfId="0" applyFont="1" applyAlignment="1">
      <alignment horizontal="center"/>
    </xf>
    <xf numFmtId="0" fontId="0" fillId="5" borderId="0" xfId="0" applyFont="1" applyFill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4" fillId="0" borderId="0" xfId="0" applyFont="1"/>
    <xf numFmtId="0" fontId="21" fillId="6" borderId="0" xfId="2" applyFill="1"/>
    <xf numFmtId="0" fontId="0" fillId="0" borderId="0" xfId="2" applyFont="1"/>
    <xf numFmtId="0" fontId="15" fillId="0" borderId="0" xfId="2" applyFont="1"/>
    <xf numFmtId="164" fontId="21" fillId="0" borderId="0" xfId="2" applyNumberFormat="1"/>
    <xf numFmtId="164" fontId="0" fillId="0" borderId="0" xfId="2" applyNumberFormat="1" applyFont="1"/>
    <xf numFmtId="2" fontId="21" fillId="0" borderId="0" xfId="2" applyNumberFormat="1"/>
    <xf numFmtId="0" fontId="8" fillId="0" borderId="0" xfId="2" applyFont="1"/>
    <xf numFmtId="164" fontId="2" fillId="0" borderId="0" xfId="2" applyNumberFormat="1" applyFont="1"/>
    <xf numFmtId="0" fontId="5" fillId="0" borderId="0" xfId="2" applyFont="1"/>
    <xf numFmtId="0" fontId="4" fillId="0" borderId="0" xfId="2" applyFont="1"/>
    <xf numFmtId="0" fontId="4" fillId="0" borderId="0" xfId="2" applyFont="1" applyAlignment="1">
      <alignment horizontal="right"/>
    </xf>
    <xf numFmtId="0" fontId="0" fillId="0" borderId="0" xfId="2" applyFont="1" applyAlignment="1">
      <alignment horizontal="right"/>
    </xf>
    <xf numFmtId="0" fontId="17" fillId="0" borderId="0" xfId="2" applyFont="1"/>
    <xf numFmtId="0" fontId="18" fillId="0" borderId="0" xfId="2" applyFont="1"/>
    <xf numFmtId="0" fontId="21" fillId="0" borderId="0" xfId="2" applyAlignment="1">
      <alignment horizontal="left"/>
    </xf>
    <xf numFmtId="165" fontId="21" fillId="0" borderId="0" xfId="2" applyNumberFormat="1"/>
    <xf numFmtId="0" fontId="4" fillId="0" borderId="0" xfId="0" applyFont="1" applyAlignment="1">
      <alignment horizontal="right"/>
    </xf>
    <xf numFmtId="0" fontId="0" fillId="7" borderId="0" xfId="0" applyFont="1" applyFill="1"/>
    <xf numFmtId="0" fontId="0" fillId="7" borderId="0" xfId="0" applyFill="1"/>
    <xf numFmtId="0" fontId="1" fillId="0" borderId="0" xfId="3"/>
    <xf numFmtId="0" fontId="20" fillId="0" borderId="0" xfId="3" applyFont="1"/>
    <xf numFmtId="0" fontId="10" fillId="7" borderId="0" xfId="3" applyFont="1" applyFill="1"/>
    <xf numFmtId="0" fontId="1" fillId="7" borderId="0" xfId="3" applyFill="1"/>
    <xf numFmtId="0" fontId="2" fillId="7" borderId="0" xfId="0" applyFont="1" applyFill="1"/>
    <xf numFmtId="0" fontId="10" fillId="7" borderId="0" xfId="0" applyFont="1" applyFill="1"/>
    <xf numFmtId="0" fontId="1" fillId="0" borderId="0" xfId="3" applyFont="1"/>
    <xf numFmtId="0" fontId="8" fillId="7" borderId="0" xfId="0" applyFont="1" applyFill="1"/>
    <xf numFmtId="0" fontId="23" fillId="7" borderId="0" xfId="0" applyFont="1" applyFill="1"/>
    <xf numFmtId="0" fontId="10" fillId="0" borderId="0" xfId="0" applyFont="1"/>
    <xf numFmtId="2" fontId="10" fillId="0" borderId="0" xfId="0" applyNumberFormat="1" applyFont="1"/>
    <xf numFmtId="0" fontId="24" fillId="0" borderId="0" xfId="4" applyNumberFormat="1"/>
    <xf numFmtId="0" fontId="24" fillId="0" borderId="0" xfId="4"/>
    <xf numFmtId="0" fontId="25" fillId="7" borderId="0" xfId="4" applyFont="1" applyFill="1"/>
    <xf numFmtId="0" fontId="25" fillId="0" borderId="0" xfId="4" applyFont="1"/>
    <xf numFmtId="2" fontId="25" fillId="7" borderId="0" xfId="4" applyNumberFormat="1" applyFont="1" applyFill="1"/>
    <xf numFmtId="164" fontId="22" fillId="8" borderId="0" xfId="2" applyNumberFormat="1" applyFont="1" applyFill="1"/>
    <xf numFmtId="0" fontId="2" fillId="9" borderId="0" xfId="2" applyFont="1" applyFill="1"/>
    <xf numFmtId="0" fontId="21" fillId="9" borderId="0" xfId="2" applyFill="1"/>
    <xf numFmtId="0" fontId="0" fillId="8" borderId="0" xfId="0" applyFill="1"/>
    <xf numFmtId="0" fontId="22" fillId="0" borderId="0" xfId="2" applyFont="1"/>
    <xf numFmtId="0" fontId="21" fillId="0" borderId="0" xfId="2" applyFont="1"/>
    <xf numFmtId="171" fontId="21" fillId="0" borderId="0" xfId="2" applyNumberFormat="1"/>
    <xf numFmtId="172" fontId="21" fillId="0" borderId="0" xfId="2" applyNumberFormat="1"/>
    <xf numFmtId="0" fontId="21" fillId="0" borderId="0" xfId="2" applyAlignment="1">
      <alignment horizontal="right"/>
    </xf>
    <xf numFmtId="172" fontId="0" fillId="0" borderId="0" xfId="0" applyNumberFormat="1"/>
    <xf numFmtId="0" fontId="21" fillId="0" borderId="1" xfId="2" applyBorder="1"/>
    <xf numFmtId="0" fontId="0" fillId="0" borderId="1" xfId="0" applyBorder="1"/>
    <xf numFmtId="172" fontId="0" fillId="0" borderId="1" xfId="0" applyNumberFormat="1" applyBorder="1"/>
    <xf numFmtId="171" fontId="21" fillId="0" borderId="1" xfId="2" applyNumberFormat="1" applyBorder="1"/>
    <xf numFmtId="0" fontId="21" fillId="0" borderId="2" xfId="2" applyBorder="1"/>
    <xf numFmtId="0" fontId="21" fillId="0" borderId="2" xfId="2" applyBorder="1" applyAlignment="1">
      <alignment horizontal="right"/>
    </xf>
    <xf numFmtId="171" fontId="21" fillId="0" borderId="2" xfId="2" applyNumberFormat="1" applyBorder="1"/>
    <xf numFmtId="0" fontId="21" fillId="0" borderId="1" xfId="2" applyBorder="1" applyAlignment="1">
      <alignment horizontal="right"/>
    </xf>
    <xf numFmtId="0" fontId="0" fillId="8" borderId="0" xfId="0" applyFont="1" applyFill="1"/>
  </cellXfs>
  <cellStyles count="5">
    <cellStyle name="Hyperlink" xfId="1" builtinId="8"/>
    <cellStyle name="Normal 2" xfId="2"/>
    <cellStyle name="Normal_allo_medhurst_1999" xfId="3"/>
    <cellStyle name="Normal_ryan_etal_2010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2323D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53426032251584E-2"/>
          <c:y val="5.793458007145888E-2"/>
          <c:w val="0.79514877123481931"/>
          <c:h val="0.7707818044289747"/>
        </c:manualLayout>
      </c:layout>
      <c:scatterChart>
        <c:scatterStyle val="lineMarker"/>
        <c:varyColors val="0"/>
        <c:ser>
          <c:idx val="0"/>
          <c:order val="0"/>
          <c:tx>
            <c:v>CK-F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pha_v1_v2_v3!$F$5:$F$25</c:f>
              <c:numCache>
                <c:formatCode>General</c:formatCode>
                <c:ptCount val="21"/>
                <c:pt idx="0">
                  <c:v>7.7625354858140962</c:v>
                </c:pt>
                <c:pt idx="1">
                  <c:v>8.833587613267138</c:v>
                </c:pt>
                <c:pt idx="2">
                  <c:v>9.9995125310810433</c:v>
                </c:pt>
                <c:pt idx="3">
                  <c:v>11.264412482852681</c:v>
                </c:pt>
                <c:pt idx="4">
                  <c:v>12.632395785985301</c:v>
                </c:pt>
                <c:pt idx="5">
                  <c:v>14.107576606331607</c:v>
                </c:pt>
                <c:pt idx="6">
                  <c:v>15.694074749256208</c:v>
                </c:pt>
                <c:pt idx="7">
                  <c:v>17.396015465375125</c:v>
                </c:pt>
                <c:pt idx="8">
                  <c:v>19.217529269469853</c:v>
                </c:pt>
                <c:pt idx="9">
                  <c:v>21.162751771271342</c:v>
                </c:pt>
                <c:pt idx="10">
                  <c:v>23.235823516977447</c:v>
                </c:pt>
                <c:pt idx="11">
                  <c:v>25.440889840507712</c:v>
                </c:pt>
                <c:pt idx="12">
                  <c:v>27.782100723619951</c:v>
                </c:pt>
                <c:pt idx="13">
                  <c:v>30.263610664114495</c:v>
                </c:pt>
                <c:pt idx="14">
                  <c:v>32.889578551440792</c:v>
                </c:pt>
                <c:pt idx="15">
                  <c:v>35.664167549095644</c:v>
                </c:pt>
                <c:pt idx="16">
                  <c:v>38.591544983268797</c:v>
                </c:pt>
                <c:pt idx="17">
                  <c:v>41.675882237247684</c:v>
                </c:pt>
                <c:pt idx="18">
                  <c:v>44.921354651143517</c:v>
                </c:pt>
                <c:pt idx="19">
                  <c:v>48.332141426543458</c:v>
                </c:pt>
                <c:pt idx="20">
                  <c:v>51.912425535733306</c:v>
                </c:pt>
              </c:numCache>
            </c:numRef>
          </c:xVal>
          <c:yVal>
            <c:numRef>
              <c:f>pha_v1_v2_v3!$B$6:$B$26</c:f>
              <c:numCache>
                <c:formatCode>General</c:formatCode>
                <c:ptCount val="21"/>
                <c:pt idx="0">
                  <c:v>12</c:v>
                </c:pt>
                <c:pt idx="1">
                  <c:v>12.5</c:v>
                </c:pt>
                <c:pt idx="2">
                  <c:v>13</c:v>
                </c:pt>
                <c:pt idx="3">
                  <c:v>13.5</c:v>
                </c:pt>
                <c:pt idx="4">
                  <c:v>14</c:v>
                </c:pt>
                <c:pt idx="5">
                  <c:v>14.5</c:v>
                </c:pt>
                <c:pt idx="6">
                  <c:v>15</c:v>
                </c:pt>
                <c:pt idx="7">
                  <c:v>15.5</c:v>
                </c:pt>
                <c:pt idx="8">
                  <c:v>16</c:v>
                </c:pt>
                <c:pt idx="9">
                  <c:v>16.5</c:v>
                </c:pt>
                <c:pt idx="10">
                  <c:v>17</c:v>
                </c:pt>
                <c:pt idx="11">
                  <c:v>17.5</c:v>
                </c:pt>
                <c:pt idx="12">
                  <c:v>18</c:v>
                </c:pt>
                <c:pt idx="13">
                  <c:v>18.5</c:v>
                </c:pt>
                <c:pt idx="14">
                  <c:v>19</c:v>
                </c:pt>
                <c:pt idx="15">
                  <c:v>19.5</c:v>
                </c:pt>
                <c:pt idx="16">
                  <c:v>20</c:v>
                </c:pt>
                <c:pt idx="17">
                  <c:v>20.5</c:v>
                </c:pt>
                <c:pt idx="18">
                  <c:v>21</c:v>
                </c:pt>
                <c:pt idx="19">
                  <c:v>21.5</c:v>
                </c:pt>
              </c:numCache>
            </c:numRef>
          </c:yVal>
          <c:smooth val="0"/>
        </c:ser>
        <c:ser>
          <c:idx val="1"/>
          <c:order val="1"/>
          <c:tx>
            <c:v>LI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pha_v1_v2_v3!$F$28:$F$43</c:f>
              <c:numCache>
                <c:formatCode>General</c:formatCode>
                <c:ptCount val="16"/>
                <c:pt idx="0">
                  <c:v>2.2983593135486875</c:v>
                </c:pt>
                <c:pt idx="1">
                  <c:v>3.4012697192596484</c:v>
                </c:pt>
                <c:pt idx="2">
                  <c:v>4.8778808641525551</c:v>
                </c:pt>
                <c:pt idx="3">
                  <c:v>6.8110017512224816</c:v>
                </c:pt>
                <c:pt idx="4">
                  <c:v>9.2935996364608222</c:v>
                </c:pt>
                <c:pt idx="5">
                  <c:v>12.429187463227407</c:v>
                </c:pt>
                <c:pt idx="6">
                  <c:v>16.33219777913893</c:v>
                </c:pt>
                <c:pt idx="7">
                  <c:v>21.128344468125576</c:v>
                </c:pt>
                <c:pt idx="8">
                  <c:v>26.954973424263958</c:v>
                </c:pt>
                <c:pt idx="9">
                  <c:v>33.961403130033752</c:v>
                </c:pt>
                <c:pt idx="10">
                  <c:v>42.30925596931467</c:v>
                </c:pt>
                <c:pt idx="11">
                  <c:v>52.172780997287077</c:v>
                </c:pt>
                <c:pt idx="12">
                  <c:v>63.739168800024515</c:v>
                </c:pt>
                <c:pt idx="13">
                  <c:v>77.208859001966729</c:v>
                </c:pt>
                <c:pt idx="14">
                  <c:v>92.795840916633495</c:v>
                </c:pt>
                <c:pt idx="15">
                  <c:v>110.72794778260746</c:v>
                </c:pt>
              </c:numCache>
            </c:numRef>
          </c:xVal>
          <c:yVal>
            <c:numRef>
              <c:f>pha_v1_v2_v3!$B$28:$B$43</c:f>
              <c:numCache>
                <c:formatCode>General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</c:numCache>
            </c:numRef>
          </c:yVal>
          <c:smooth val="0"/>
        </c:ser>
        <c:ser>
          <c:idx val="2"/>
          <c:order val="2"/>
          <c:tx>
            <c:v>GC-200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pha_v1_v2_v3!$L$29:$L$41</c:f>
              <c:numCache>
                <c:formatCode>General</c:formatCode>
                <c:ptCount val="13"/>
                <c:pt idx="0">
                  <c:v>52.31298681176262</c:v>
                </c:pt>
                <c:pt idx="1">
                  <c:v>55.346486950371279</c:v>
                </c:pt>
                <c:pt idx="2">
                  <c:v>58.476403259249295</c:v>
                </c:pt>
                <c:pt idx="3">
                  <c:v>61.70339510647959</c:v>
                </c:pt>
                <c:pt idx="4">
                  <c:v>65.028110693169467</c:v>
                </c:pt>
                <c:pt idx="5">
                  <c:v>68.451187495889869</c:v>
                </c:pt>
                <c:pt idx="6">
                  <c:v>71.973252681999924</c:v>
                </c:pt>
                <c:pt idx="7">
                  <c:v>75.594923500076973</c:v>
                </c:pt>
                <c:pt idx="8">
                  <c:v>79.316807647453203</c:v>
                </c:pt>
                <c:pt idx="9">
                  <c:v>83.139503616653911</c:v>
                </c:pt>
                <c:pt idx="10">
                  <c:v>87.063601022361695</c:v>
                </c:pt>
                <c:pt idx="11">
                  <c:v>91.089680910373687</c:v>
                </c:pt>
                <c:pt idx="12">
                  <c:v>95.218316049880798</c:v>
                </c:pt>
              </c:numCache>
            </c:numRef>
          </c:xVal>
          <c:yVal>
            <c:numRef>
              <c:f>pha_v1_v2_v3!$I$29:$I$41</c:f>
              <c:numCache>
                <c:formatCode>General</c:formatCode>
                <c:ptCount val="13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GC-725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pha_v1_v2_v3!$R$29:$R$41</c:f>
              <c:numCache>
                <c:formatCode>General</c:formatCode>
                <c:ptCount val="13"/>
                <c:pt idx="0">
                  <c:v>16.669344866412615</c:v>
                </c:pt>
                <c:pt idx="1">
                  <c:v>18.621380058026197</c:v>
                </c:pt>
                <c:pt idx="2">
                  <c:v>20.731234508733515</c:v>
                </c:pt>
                <c:pt idx="3">
                  <c:v>23.006301818023083</c:v>
                </c:pt>
                <c:pt idx="4">
                  <c:v>25.454085751641141</c:v>
                </c:pt>
                <c:pt idx="5">
                  <c:v>28.082198569741095</c:v>
                </c:pt>
                <c:pt idx="6">
                  <c:v>30.898359427822832</c:v>
                </c:pt>
                <c:pt idx="7">
                  <c:v>33.910392845341917</c:v>
                </c:pt>
                <c:pt idx="8">
                  <c:v>37.126227237360375</c:v>
                </c:pt>
                <c:pt idx="9">
                  <c:v>40.553893505039547</c:v>
                </c:pt>
                <c:pt idx="10">
                  <c:v>44.2015236811582</c:v>
                </c:pt>
                <c:pt idx="11">
                  <c:v>48.077349627176332</c:v>
                </c:pt>
                <c:pt idx="12">
                  <c:v>52.189701778664706</c:v>
                </c:pt>
              </c:numCache>
            </c:numRef>
          </c:xVal>
          <c:yVal>
            <c:numRef>
              <c:f>pha_v1_v2_v3!$O$29:$O$41</c:f>
              <c:numCache>
                <c:formatCode>General</c:formatCode>
                <c:ptCount val="13"/>
                <c:pt idx="0">
                  <c:v>15.5</c:v>
                </c:pt>
                <c:pt idx="1">
                  <c:v>16</c:v>
                </c:pt>
                <c:pt idx="2">
                  <c:v>16.5</c:v>
                </c:pt>
                <c:pt idx="3">
                  <c:v>17</c:v>
                </c:pt>
                <c:pt idx="4">
                  <c:v>17.5</c:v>
                </c:pt>
                <c:pt idx="5">
                  <c:v>18</c:v>
                </c:pt>
                <c:pt idx="6">
                  <c:v>18.5</c:v>
                </c:pt>
                <c:pt idx="7">
                  <c:v>19</c:v>
                </c:pt>
                <c:pt idx="8">
                  <c:v>19.5</c:v>
                </c:pt>
                <c:pt idx="9">
                  <c:v>20</c:v>
                </c:pt>
                <c:pt idx="10">
                  <c:v>20.5</c:v>
                </c:pt>
                <c:pt idx="11">
                  <c:v>21</c:v>
                </c:pt>
                <c:pt idx="12">
                  <c:v>21.5</c:v>
                </c:pt>
              </c:numCache>
            </c:numRef>
          </c:yVal>
          <c:smooth val="0"/>
        </c:ser>
        <c:ser>
          <c:idx val="4"/>
          <c:order val="4"/>
          <c:tx>
            <c:v>FIT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pha_v1_v2_v3!$Z$3:$Z$36</c:f>
              <c:numCache>
                <c:formatCode>General</c:formatCode>
                <c:ptCount val="34"/>
                <c:pt idx="0">
                  <c:v>2.5875118286046992</c:v>
                </c:pt>
                <c:pt idx="1">
                  <c:v>2.9445292044223796</c:v>
                </c:pt>
                <c:pt idx="2">
                  <c:v>3.3331708436936816</c:v>
                </c:pt>
                <c:pt idx="3">
                  <c:v>3.754804160950894</c:v>
                </c:pt>
                <c:pt idx="4">
                  <c:v>4.2107985953284341</c:v>
                </c:pt>
                <c:pt idx="5">
                  <c:v>4.7025255354438702</c:v>
                </c:pt>
                <c:pt idx="6">
                  <c:v>5.2313582497520699</c:v>
                </c:pt>
                <c:pt idx="7">
                  <c:v>5.798671821791709</c:v>
                </c:pt>
                <c:pt idx="8">
                  <c:v>6.4058430898232857</c:v>
                </c:pt>
                <c:pt idx="9">
                  <c:v>7.0542505904237807</c:v>
                </c:pt>
                <c:pt idx="10">
                  <c:v>7.7452745056591494</c:v>
                </c:pt>
                <c:pt idx="11">
                  <c:v>8.4802966135025724</c:v>
                </c:pt>
                <c:pt idx="12">
                  <c:v>9.260700241206651</c:v>
                </c:pt>
                <c:pt idx="13">
                  <c:v>10.087870221371499</c:v>
                </c:pt>
                <c:pt idx="14">
                  <c:v>10.963192850480265</c:v>
                </c:pt>
                <c:pt idx="15">
                  <c:v>11.888055849698549</c:v>
                </c:pt>
                <c:pt idx="16">
                  <c:v>12.863848327756267</c:v>
                </c:pt>
                <c:pt idx="17">
                  <c:v>13.89196074574923</c:v>
                </c:pt>
                <c:pt idx="18">
                  <c:v>14.973784883714506</c:v>
                </c:pt>
                <c:pt idx="19">
                  <c:v>16.110713808847819</c:v>
                </c:pt>
                <c:pt idx="20">
                  <c:v>17.304141845244438</c:v>
                </c:pt>
                <c:pt idx="21">
                  <c:v>17.437662270587545</c:v>
                </c:pt>
                <c:pt idx="22">
                  <c:v>18.448828983457094</c:v>
                </c:pt>
                <c:pt idx="23">
                  <c:v>19.492134419749767</c:v>
                </c:pt>
                <c:pt idx="24">
                  <c:v>20.567798368826534</c:v>
                </c:pt>
                <c:pt idx="25">
                  <c:v>21.676036897723158</c:v>
                </c:pt>
                <c:pt idx="26">
                  <c:v>22.817062498629959</c:v>
                </c:pt>
                <c:pt idx="27">
                  <c:v>23.99108422733331</c:v>
                </c:pt>
                <c:pt idx="28">
                  <c:v>25.198307833358996</c:v>
                </c:pt>
                <c:pt idx="29">
                  <c:v>26.438935882484401</c:v>
                </c:pt>
                <c:pt idx="30">
                  <c:v>27.713167872217973</c:v>
                </c:pt>
                <c:pt idx="31">
                  <c:v>29.021200340787235</c:v>
                </c:pt>
                <c:pt idx="32">
                  <c:v>30.363226970124565</c:v>
                </c:pt>
                <c:pt idx="33">
                  <c:v>31.739438683293599</c:v>
                </c:pt>
              </c:numCache>
            </c:numRef>
          </c:xVal>
          <c:yVal>
            <c:numRef>
              <c:f>pha_v1_v2_v3!$AA$3:$AA$37</c:f>
              <c:numCache>
                <c:formatCode>General</c:formatCode>
                <c:ptCount val="35"/>
                <c:pt idx="0">
                  <c:v>11.701150772557527</c:v>
                </c:pt>
                <c:pt idx="1">
                  <c:v>12.169232202859229</c:v>
                </c:pt>
                <c:pt idx="2">
                  <c:v>12.636529726407966</c:v>
                </c:pt>
                <c:pt idx="3">
                  <c:v>13.103129681871271</c:v>
                </c:pt>
                <c:pt idx="4">
                  <c:v>13.569111410103803</c:v>
                </c:pt>
                <c:pt idx="5">
                  <c:v>14.034548075384395</c:v>
                </c:pt>
                <c:pt idx="6">
                  <c:v>14.499507364974052</c:v>
                </c:pt>
                <c:pt idx="7">
                  <c:v>14.964052088568437</c:v>
                </c:pt>
                <c:pt idx="8">
                  <c:v>15.428240694805405</c:v>
                </c:pt>
                <c:pt idx="9">
                  <c:v>15.892127718590068</c:v>
                </c:pt>
                <c:pt idx="10">
                  <c:v>16.355764170360047</c:v>
                </c:pt>
                <c:pt idx="11">
                  <c:v>16.81919787634402</c:v>
                </c:pt>
                <c:pt idx="12">
                  <c:v>17.282473777232077</c:v>
                </c:pt>
                <c:pt idx="13">
                  <c:v>17.7456341913743</c:v>
                </c:pt>
                <c:pt idx="14">
                  <c:v>18.208719047581027</c:v>
                </c:pt>
                <c:pt idx="15">
                  <c:v>18.671766091755526</c:v>
                </c:pt>
                <c:pt idx="16">
                  <c:v>19.134811070906149</c:v>
                </c:pt>
                <c:pt idx="17">
                  <c:v>19.597887897525997</c:v>
                </c:pt>
                <c:pt idx="18">
                  <c:v>20.061028796869266</c:v>
                </c:pt>
                <c:pt idx="19">
                  <c:v>20.524264439274152</c:v>
                </c:pt>
                <c:pt idx="20">
                  <c:v>20.987624059367786</c:v>
                </c:pt>
                <c:pt idx="21">
                  <c:v>21.038124858234401</c:v>
                </c:pt>
                <c:pt idx="22">
                  <c:v>21.412461961330305</c:v>
                </c:pt>
                <c:pt idx="23">
                  <c:v>21.784652398475416</c:v>
                </c:pt>
                <c:pt idx="24">
                  <c:v>22.154774350082086</c:v>
                </c:pt>
                <c:pt idx="25">
                  <c:v>22.522901697249964</c:v>
                </c:pt>
                <c:pt idx="26">
                  <c:v>22.889104349748916</c:v>
                </c:pt>
                <c:pt idx="27">
                  <c:v>23.253448542320861</c:v>
                </c:pt>
                <c:pt idx="28">
                  <c:v>23.615997102977762</c:v>
                </c:pt>
                <c:pt idx="29">
                  <c:v>23.976809696478483</c:v>
                </c:pt>
                <c:pt idx="30">
                  <c:v>24.335943045746102</c:v>
                </c:pt>
                <c:pt idx="31">
                  <c:v>24.693451133630941</c:v>
                </c:pt>
                <c:pt idx="32">
                  <c:v>25.049385387119262</c:v>
                </c:pt>
                <c:pt idx="33">
                  <c:v>25.403794845826855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468800"/>
        <c:axId val="272469376"/>
      </c:scatterChart>
      <c:valAx>
        <c:axId val="2724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crown mass [m³]</a:t>
                </a:r>
              </a:p>
            </c:rich>
          </c:tx>
          <c:layout>
            <c:manualLayout>
              <c:xMode val="edge"/>
              <c:yMode val="edge"/>
              <c:x val="0.41239920481637909"/>
              <c:y val="0.906802065358958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469376"/>
        <c:crosses val="autoZero"/>
        <c:crossBetween val="midCat"/>
      </c:valAx>
      <c:valAx>
        <c:axId val="27246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 [m]
</a:t>
                </a:r>
              </a:p>
            </c:rich>
          </c:tx>
          <c:layout>
            <c:manualLayout>
              <c:xMode val="edge"/>
              <c:yMode val="edge"/>
              <c:x val="6.7385444743935314E-3"/>
              <c:y val="0.39798541555101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468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3590565330277"/>
          <c:y val="0.34256979842255231"/>
          <c:w val="0.11185997976668005"/>
          <c:h val="0.267002783342258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764323172370503E-2"/>
          <c:y val="5.7788944723618091E-2"/>
          <c:w val="0.81895552840902686"/>
          <c:h val="0.77135678391959794"/>
        </c:manualLayout>
      </c:layout>
      <c:scatterChart>
        <c:scatterStyle val="lineMarker"/>
        <c:varyColors val="0"/>
        <c:ser>
          <c:idx val="0"/>
          <c:order val="0"/>
          <c:tx>
            <c:v>CK-F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pha_v1_v2_v3!$G$5:$G$25</c:f>
              <c:numCache>
                <c:formatCode>General</c:formatCode>
                <c:ptCount val="21"/>
                <c:pt idx="0">
                  <c:v>2.5875118286046992</c:v>
                </c:pt>
                <c:pt idx="1">
                  <c:v>2.9445292044223796</c:v>
                </c:pt>
                <c:pt idx="2">
                  <c:v>3.3331708436936816</c:v>
                </c:pt>
                <c:pt idx="3">
                  <c:v>3.754804160950894</c:v>
                </c:pt>
                <c:pt idx="4">
                  <c:v>4.2107985953284341</c:v>
                </c:pt>
                <c:pt idx="5">
                  <c:v>4.7025255354438702</c:v>
                </c:pt>
                <c:pt idx="6">
                  <c:v>5.2313582497520699</c:v>
                </c:pt>
                <c:pt idx="7">
                  <c:v>5.798671821791709</c:v>
                </c:pt>
                <c:pt idx="8">
                  <c:v>6.4058430898232857</c:v>
                </c:pt>
                <c:pt idx="9">
                  <c:v>7.0542505904237807</c:v>
                </c:pt>
                <c:pt idx="10">
                  <c:v>7.7452745056591494</c:v>
                </c:pt>
                <c:pt idx="11">
                  <c:v>8.4802966135025724</c:v>
                </c:pt>
                <c:pt idx="12">
                  <c:v>9.260700241206651</c:v>
                </c:pt>
                <c:pt idx="13">
                  <c:v>10.087870221371499</c:v>
                </c:pt>
                <c:pt idx="14">
                  <c:v>10.963192850480265</c:v>
                </c:pt>
                <c:pt idx="15">
                  <c:v>11.888055849698549</c:v>
                </c:pt>
                <c:pt idx="16">
                  <c:v>12.863848327756267</c:v>
                </c:pt>
                <c:pt idx="17">
                  <c:v>13.89196074574923</c:v>
                </c:pt>
                <c:pt idx="18">
                  <c:v>14.973784883714506</c:v>
                </c:pt>
                <c:pt idx="19">
                  <c:v>16.110713808847819</c:v>
                </c:pt>
                <c:pt idx="20">
                  <c:v>17.304141845244438</c:v>
                </c:pt>
              </c:numCache>
            </c:numRef>
          </c:xVal>
          <c:yVal>
            <c:numRef>
              <c:f>pha_v1_v2_v3!$B$6:$B$26</c:f>
              <c:numCache>
                <c:formatCode>General</c:formatCode>
                <c:ptCount val="21"/>
                <c:pt idx="0">
                  <c:v>12</c:v>
                </c:pt>
                <c:pt idx="1">
                  <c:v>12.5</c:v>
                </c:pt>
                <c:pt idx="2">
                  <c:v>13</c:v>
                </c:pt>
                <c:pt idx="3">
                  <c:v>13.5</c:v>
                </c:pt>
                <c:pt idx="4">
                  <c:v>14</c:v>
                </c:pt>
                <c:pt idx="5">
                  <c:v>14.5</c:v>
                </c:pt>
                <c:pt idx="6">
                  <c:v>15</c:v>
                </c:pt>
                <c:pt idx="7">
                  <c:v>15.5</c:v>
                </c:pt>
                <c:pt idx="8">
                  <c:v>16</c:v>
                </c:pt>
                <c:pt idx="9">
                  <c:v>16.5</c:v>
                </c:pt>
                <c:pt idx="10">
                  <c:v>17</c:v>
                </c:pt>
                <c:pt idx="11">
                  <c:v>17.5</c:v>
                </c:pt>
                <c:pt idx="12">
                  <c:v>18</c:v>
                </c:pt>
                <c:pt idx="13">
                  <c:v>18.5</c:v>
                </c:pt>
                <c:pt idx="14">
                  <c:v>19</c:v>
                </c:pt>
                <c:pt idx="15">
                  <c:v>19.5</c:v>
                </c:pt>
                <c:pt idx="16">
                  <c:v>20</c:v>
                </c:pt>
                <c:pt idx="17">
                  <c:v>20.5</c:v>
                </c:pt>
                <c:pt idx="18">
                  <c:v>21</c:v>
                </c:pt>
                <c:pt idx="19">
                  <c:v>21.5</c:v>
                </c:pt>
              </c:numCache>
            </c:numRef>
          </c:yVal>
          <c:smooth val="0"/>
        </c:ser>
        <c:ser>
          <c:idx val="1"/>
          <c:order val="1"/>
          <c:tx>
            <c:v>LI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pha_v1_v2_v3!$G$28:$G$43</c:f>
              <c:numCache>
                <c:formatCode>General</c:formatCode>
                <c:ptCount val="16"/>
                <c:pt idx="0">
                  <c:v>0.76611977118289587</c:v>
                </c:pt>
                <c:pt idx="1">
                  <c:v>1.1337565730865495</c:v>
                </c:pt>
                <c:pt idx="2">
                  <c:v>1.6259602880508517</c:v>
                </c:pt>
                <c:pt idx="3">
                  <c:v>2.2703339170741605</c:v>
                </c:pt>
                <c:pt idx="4">
                  <c:v>3.0978665454869412</c:v>
                </c:pt>
                <c:pt idx="5">
                  <c:v>4.14306248774247</c:v>
                </c:pt>
                <c:pt idx="6">
                  <c:v>5.4440659263796434</c:v>
                </c:pt>
                <c:pt idx="7">
                  <c:v>7.0427814893751917</c:v>
                </c:pt>
                <c:pt idx="8">
                  <c:v>8.9849911414213217</c:v>
                </c:pt>
                <c:pt idx="9">
                  <c:v>11.320467710011251</c:v>
                </c:pt>
                <c:pt idx="10">
                  <c:v>14.10308532310489</c:v>
                </c:pt>
                <c:pt idx="11">
                  <c:v>17.390926999095694</c:v>
                </c:pt>
                <c:pt idx="12">
                  <c:v>21.246389600008172</c:v>
                </c:pt>
                <c:pt idx="13">
                  <c:v>25.736286333988915</c:v>
                </c:pt>
                <c:pt idx="14">
                  <c:v>30.931946972211168</c:v>
                </c:pt>
                <c:pt idx="15">
                  <c:v>36.909315927535822</c:v>
                </c:pt>
              </c:numCache>
            </c:numRef>
          </c:xVal>
          <c:yVal>
            <c:numRef>
              <c:f>pha_v1_v2_v3!$B$28:$B$43</c:f>
              <c:numCache>
                <c:formatCode>General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</c:numCache>
            </c:numRef>
          </c:yVal>
          <c:smooth val="0"/>
        </c:ser>
        <c:ser>
          <c:idx val="2"/>
          <c:order val="2"/>
          <c:tx>
            <c:v>GC-200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pha_v1_v2_v3!$M$29:$M$41</c:f>
              <c:numCache>
                <c:formatCode>General</c:formatCode>
                <c:ptCount val="13"/>
                <c:pt idx="0">
                  <c:v>17.437662270587545</c:v>
                </c:pt>
                <c:pt idx="1">
                  <c:v>18.448828983457094</c:v>
                </c:pt>
                <c:pt idx="2">
                  <c:v>19.492134419749767</c:v>
                </c:pt>
                <c:pt idx="3">
                  <c:v>20.567798368826534</c:v>
                </c:pt>
                <c:pt idx="4">
                  <c:v>21.676036897723158</c:v>
                </c:pt>
                <c:pt idx="5">
                  <c:v>22.817062498629959</c:v>
                </c:pt>
                <c:pt idx="6">
                  <c:v>23.99108422733331</c:v>
                </c:pt>
                <c:pt idx="7">
                  <c:v>25.198307833358996</c:v>
                </c:pt>
                <c:pt idx="8">
                  <c:v>26.438935882484401</c:v>
                </c:pt>
                <c:pt idx="9">
                  <c:v>27.713167872217973</c:v>
                </c:pt>
                <c:pt idx="10">
                  <c:v>29.021200340787235</c:v>
                </c:pt>
                <c:pt idx="11">
                  <c:v>30.363226970124565</c:v>
                </c:pt>
                <c:pt idx="12">
                  <c:v>31.739438683293599</c:v>
                </c:pt>
              </c:numCache>
            </c:numRef>
          </c:xVal>
          <c:yVal>
            <c:numRef>
              <c:f>pha_v1_v2_v3!$I$29:$I$41</c:f>
              <c:numCache>
                <c:formatCode>General</c:formatCode>
                <c:ptCount val="13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GC-725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pha_v1_v2_v3!$S$29:$S$41</c:f>
              <c:numCache>
                <c:formatCode>General</c:formatCode>
                <c:ptCount val="13"/>
                <c:pt idx="0">
                  <c:v>5.5564482888042059</c:v>
                </c:pt>
                <c:pt idx="1">
                  <c:v>6.2071266860087331</c:v>
                </c:pt>
                <c:pt idx="2">
                  <c:v>6.9104115029111712</c:v>
                </c:pt>
                <c:pt idx="3">
                  <c:v>7.6687672726743612</c:v>
                </c:pt>
                <c:pt idx="4">
                  <c:v>8.4846952505470483</c:v>
                </c:pt>
                <c:pt idx="5">
                  <c:v>9.3607328565803662</c:v>
                </c:pt>
                <c:pt idx="6">
                  <c:v>10.299453142607611</c:v>
                </c:pt>
                <c:pt idx="7">
                  <c:v>11.30346428178064</c:v>
                </c:pt>
                <c:pt idx="8">
                  <c:v>12.375409079120127</c:v>
                </c:pt>
                <c:pt idx="9">
                  <c:v>13.517964501679849</c:v>
                </c:pt>
                <c:pt idx="10">
                  <c:v>14.733841227052736</c:v>
                </c:pt>
                <c:pt idx="11">
                  <c:v>16.02578320905878</c:v>
                </c:pt>
                <c:pt idx="12">
                  <c:v>17.396567259554903</c:v>
                </c:pt>
              </c:numCache>
            </c:numRef>
          </c:xVal>
          <c:yVal>
            <c:numRef>
              <c:f>pha_v1_v2_v3!$O$29:$O$41</c:f>
              <c:numCache>
                <c:formatCode>General</c:formatCode>
                <c:ptCount val="13"/>
                <c:pt idx="0">
                  <c:v>15.5</c:v>
                </c:pt>
                <c:pt idx="1">
                  <c:v>16</c:v>
                </c:pt>
                <c:pt idx="2">
                  <c:v>16.5</c:v>
                </c:pt>
                <c:pt idx="3">
                  <c:v>17</c:v>
                </c:pt>
                <c:pt idx="4">
                  <c:v>17.5</c:v>
                </c:pt>
                <c:pt idx="5">
                  <c:v>18</c:v>
                </c:pt>
                <c:pt idx="6">
                  <c:v>18.5</c:v>
                </c:pt>
                <c:pt idx="7">
                  <c:v>19</c:v>
                </c:pt>
                <c:pt idx="8">
                  <c:v>19.5</c:v>
                </c:pt>
                <c:pt idx="9">
                  <c:v>20</c:v>
                </c:pt>
                <c:pt idx="10">
                  <c:v>20.5</c:v>
                </c:pt>
                <c:pt idx="11">
                  <c:v>21</c:v>
                </c:pt>
                <c:pt idx="12">
                  <c:v>21.5</c:v>
                </c:pt>
              </c:numCache>
            </c:numRef>
          </c:yVal>
          <c:smooth val="0"/>
        </c:ser>
        <c:ser>
          <c:idx val="4"/>
          <c:order val="4"/>
          <c:tx>
            <c:v>FIT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pha_v1_v2_v3!$Z$3:$Z$36</c:f>
              <c:numCache>
                <c:formatCode>General</c:formatCode>
                <c:ptCount val="34"/>
                <c:pt idx="0">
                  <c:v>2.5875118286046992</c:v>
                </c:pt>
                <c:pt idx="1">
                  <c:v>2.9445292044223796</c:v>
                </c:pt>
                <c:pt idx="2">
                  <c:v>3.3331708436936816</c:v>
                </c:pt>
                <c:pt idx="3">
                  <c:v>3.754804160950894</c:v>
                </c:pt>
                <c:pt idx="4">
                  <c:v>4.2107985953284341</c:v>
                </c:pt>
                <c:pt idx="5">
                  <c:v>4.7025255354438702</c:v>
                </c:pt>
                <c:pt idx="6">
                  <c:v>5.2313582497520699</c:v>
                </c:pt>
                <c:pt idx="7">
                  <c:v>5.798671821791709</c:v>
                </c:pt>
                <c:pt idx="8">
                  <c:v>6.4058430898232857</c:v>
                </c:pt>
                <c:pt idx="9">
                  <c:v>7.0542505904237807</c:v>
                </c:pt>
                <c:pt idx="10">
                  <c:v>7.7452745056591494</c:v>
                </c:pt>
                <c:pt idx="11">
                  <c:v>8.4802966135025724</c:v>
                </c:pt>
                <c:pt idx="12">
                  <c:v>9.260700241206651</c:v>
                </c:pt>
                <c:pt idx="13">
                  <c:v>10.087870221371499</c:v>
                </c:pt>
                <c:pt idx="14">
                  <c:v>10.963192850480265</c:v>
                </c:pt>
                <c:pt idx="15">
                  <c:v>11.888055849698549</c:v>
                </c:pt>
                <c:pt idx="16">
                  <c:v>12.863848327756267</c:v>
                </c:pt>
                <c:pt idx="17">
                  <c:v>13.89196074574923</c:v>
                </c:pt>
                <c:pt idx="18">
                  <c:v>14.973784883714506</c:v>
                </c:pt>
                <c:pt idx="19">
                  <c:v>16.110713808847819</c:v>
                </c:pt>
                <c:pt idx="20">
                  <c:v>17.304141845244438</c:v>
                </c:pt>
                <c:pt idx="21">
                  <c:v>17.437662270587545</c:v>
                </c:pt>
                <c:pt idx="22">
                  <c:v>18.448828983457094</c:v>
                </c:pt>
                <c:pt idx="23">
                  <c:v>19.492134419749767</c:v>
                </c:pt>
                <c:pt idx="24">
                  <c:v>20.567798368826534</c:v>
                </c:pt>
                <c:pt idx="25">
                  <c:v>21.676036897723158</c:v>
                </c:pt>
                <c:pt idx="26">
                  <c:v>22.817062498629959</c:v>
                </c:pt>
                <c:pt idx="27">
                  <c:v>23.99108422733331</c:v>
                </c:pt>
                <c:pt idx="28">
                  <c:v>25.198307833358996</c:v>
                </c:pt>
                <c:pt idx="29">
                  <c:v>26.438935882484401</c:v>
                </c:pt>
                <c:pt idx="30">
                  <c:v>27.713167872217973</c:v>
                </c:pt>
                <c:pt idx="31">
                  <c:v>29.021200340787235</c:v>
                </c:pt>
                <c:pt idx="32">
                  <c:v>30.363226970124565</c:v>
                </c:pt>
                <c:pt idx="33">
                  <c:v>31.739438683293599</c:v>
                </c:pt>
              </c:numCache>
            </c:numRef>
          </c:xVal>
          <c:yVal>
            <c:numRef>
              <c:f>pha_v1_v2_v3!$AA$3:$AA$37</c:f>
              <c:numCache>
                <c:formatCode>General</c:formatCode>
                <c:ptCount val="35"/>
                <c:pt idx="0">
                  <c:v>11.701150772557527</c:v>
                </c:pt>
                <c:pt idx="1">
                  <c:v>12.169232202859229</c:v>
                </c:pt>
                <c:pt idx="2">
                  <c:v>12.636529726407966</c:v>
                </c:pt>
                <c:pt idx="3">
                  <c:v>13.103129681871271</c:v>
                </c:pt>
                <c:pt idx="4">
                  <c:v>13.569111410103803</c:v>
                </c:pt>
                <c:pt idx="5">
                  <c:v>14.034548075384395</c:v>
                </c:pt>
                <c:pt idx="6">
                  <c:v>14.499507364974052</c:v>
                </c:pt>
                <c:pt idx="7">
                  <c:v>14.964052088568437</c:v>
                </c:pt>
                <c:pt idx="8">
                  <c:v>15.428240694805405</c:v>
                </c:pt>
                <c:pt idx="9">
                  <c:v>15.892127718590068</c:v>
                </c:pt>
                <c:pt idx="10">
                  <c:v>16.355764170360047</c:v>
                </c:pt>
                <c:pt idx="11">
                  <c:v>16.81919787634402</c:v>
                </c:pt>
                <c:pt idx="12">
                  <c:v>17.282473777232077</c:v>
                </c:pt>
                <c:pt idx="13">
                  <c:v>17.7456341913743</c:v>
                </c:pt>
                <c:pt idx="14">
                  <c:v>18.208719047581027</c:v>
                </c:pt>
                <c:pt idx="15">
                  <c:v>18.671766091755526</c:v>
                </c:pt>
                <c:pt idx="16">
                  <c:v>19.134811070906149</c:v>
                </c:pt>
                <c:pt idx="17">
                  <c:v>19.597887897525997</c:v>
                </c:pt>
                <c:pt idx="18">
                  <c:v>20.061028796869266</c:v>
                </c:pt>
                <c:pt idx="19">
                  <c:v>20.524264439274152</c:v>
                </c:pt>
                <c:pt idx="20">
                  <c:v>20.987624059367786</c:v>
                </c:pt>
                <c:pt idx="21">
                  <c:v>21.038124858234401</c:v>
                </c:pt>
                <c:pt idx="22">
                  <c:v>21.412461961330305</c:v>
                </c:pt>
                <c:pt idx="23">
                  <c:v>21.784652398475416</c:v>
                </c:pt>
                <c:pt idx="24">
                  <c:v>22.154774350082086</c:v>
                </c:pt>
                <c:pt idx="25">
                  <c:v>22.522901697249964</c:v>
                </c:pt>
                <c:pt idx="26">
                  <c:v>22.889104349748916</c:v>
                </c:pt>
                <c:pt idx="27">
                  <c:v>23.253448542320861</c:v>
                </c:pt>
                <c:pt idx="28">
                  <c:v>23.615997102977762</c:v>
                </c:pt>
                <c:pt idx="29">
                  <c:v>23.976809696478483</c:v>
                </c:pt>
                <c:pt idx="30">
                  <c:v>24.335943045746102</c:v>
                </c:pt>
                <c:pt idx="31">
                  <c:v>24.693451133630941</c:v>
                </c:pt>
                <c:pt idx="32">
                  <c:v>25.049385387119262</c:v>
                </c:pt>
                <c:pt idx="33">
                  <c:v>25.403794845826855</c:v>
                </c:pt>
              </c:numCache>
            </c:numRef>
          </c:yVal>
          <c:smooth val="0"/>
        </c:ser>
        <c:ser>
          <c:idx val="5"/>
          <c:order val="5"/>
          <c:tx>
            <c:v>Barnard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pha_v1_v2_v3!$C$58:$C$59</c:f>
              <c:numCache>
                <c:formatCode>General</c:formatCode>
                <c:ptCount val="2"/>
                <c:pt idx="0">
                  <c:v>4.38</c:v>
                </c:pt>
                <c:pt idx="1">
                  <c:v>9.34</c:v>
                </c:pt>
              </c:numCache>
            </c:numRef>
          </c:xVal>
          <c:yVal>
            <c:numRef>
              <c:f>pha_v1_v2_v3!$B$58:$B$59</c:f>
              <c:numCache>
                <c:formatCode>General</c:formatCode>
                <c:ptCount val="2"/>
                <c:pt idx="0">
                  <c:v>6.94</c:v>
                </c:pt>
                <c:pt idx="1">
                  <c:v>25.6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471680"/>
        <c:axId val="272472256"/>
      </c:scatterChart>
      <c:valAx>
        <c:axId val="27247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crown mass [kg TM]</a:t>
                </a:r>
              </a:p>
            </c:rich>
          </c:tx>
          <c:layout>
            <c:manualLayout>
              <c:xMode val="edge"/>
              <c:yMode val="edge"/>
              <c:x val="0.40947777639581201"/>
              <c:y val="0.90703517587939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472256"/>
        <c:crosses val="autoZero"/>
        <c:crossBetween val="midCat"/>
      </c:valAx>
      <c:valAx>
        <c:axId val="272472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 [m]
</a:t>
                </a:r>
              </a:p>
            </c:rich>
          </c:tx>
          <c:layout>
            <c:manualLayout>
              <c:xMode val="edge"/>
              <c:yMode val="edge"/>
              <c:x val="6.0753341433778859E-3"/>
              <c:y val="0.396984924623115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4716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1436202613191"/>
          <c:y val="0.314070351758794"/>
          <c:w val="0.10206561360874844"/>
          <c:h val="0.31909547738693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669902912621352E-2"/>
          <c:y val="5.764425136143915E-2"/>
          <c:w val="0.81917475728155342"/>
          <c:h val="0.77193171388361992"/>
        </c:manualLayout>
      </c:layout>
      <c:scatterChart>
        <c:scatterStyle val="lineMarker"/>
        <c:varyColors val="0"/>
        <c:ser>
          <c:idx val="0"/>
          <c:order val="0"/>
          <c:tx>
            <c:v>CK-F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pha_v1_v2_v3!$G$5:$G$25</c:f>
              <c:numCache>
                <c:formatCode>General</c:formatCode>
                <c:ptCount val="21"/>
                <c:pt idx="0">
                  <c:v>2.5875118286046992</c:v>
                </c:pt>
                <c:pt idx="1">
                  <c:v>2.9445292044223796</c:v>
                </c:pt>
                <c:pt idx="2">
                  <c:v>3.3331708436936816</c:v>
                </c:pt>
                <c:pt idx="3">
                  <c:v>3.754804160950894</c:v>
                </c:pt>
                <c:pt idx="4">
                  <c:v>4.2107985953284341</c:v>
                </c:pt>
                <c:pt idx="5">
                  <c:v>4.7025255354438702</c:v>
                </c:pt>
                <c:pt idx="6">
                  <c:v>5.2313582497520699</c:v>
                </c:pt>
                <c:pt idx="7">
                  <c:v>5.798671821791709</c:v>
                </c:pt>
                <c:pt idx="8">
                  <c:v>6.4058430898232857</c:v>
                </c:pt>
                <c:pt idx="9">
                  <c:v>7.0542505904237807</c:v>
                </c:pt>
                <c:pt idx="10">
                  <c:v>7.7452745056591494</c:v>
                </c:pt>
                <c:pt idx="11">
                  <c:v>8.4802966135025724</c:v>
                </c:pt>
                <c:pt idx="12">
                  <c:v>9.260700241206651</c:v>
                </c:pt>
                <c:pt idx="13">
                  <c:v>10.087870221371499</c:v>
                </c:pt>
                <c:pt idx="14">
                  <c:v>10.963192850480265</c:v>
                </c:pt>
                <c:pt idx="15">
                  <c:v>11.888055849698549</c:v>
                </c:pt>
                <c:pt idx="16">
                  <c:v>12.863848327756267</c:v>
                </c:pt>
                <c:pt idx="17">
                  <c:v>13.89196074574923</c:v>
                </c:pt>
                <c:pt idx="18">
                  <c:v>14.973784883714506</c:v>
                </c:pt>
                <c:pt idx="19">
                  <c:v>16.110713808847819</c:v>
                </c:pt>
                <c:pt idx="20">
                  <c:v>17.304141845244438</c:v>
                </c:pt>
              </c:numCache>
            </c:numRef>
          </c:xVal>
          <c:yVal>
            <c:numRef>
              <c:f>pha_v1_v2_v3!$B$6:$B$26</c:f>
              <c:numCache>
                <c:formatCode>General</c:formatCode>
                <c:ptCount val="21"/>
                <c:pt idx="0">
                  <c:v>12</c:v>
                </c:pt>
                <c:pt idx="1">
                  <c:v>12.5</c:v>
                </c:pt>
                <c:pt idx="2">
                  <c:v>13</c:v>
                </c:pt>
                <c:pt idx="3">
                  <c:v>13.5</c:v>
                </c:pt>
                <c:pt idx="4">
                  <c:v>14</c:v>
                </c:pt>
                <c:pt idx="5">
                  <c:v>14.5</c:v>
                </c:pt>
                <c:pt idx="6">
                  <c:v>15</c:v>
                </c:pt>
                <c:pt idx="7">
                  <c:v>15.5</c:v>
                </c:pt>
                <c:pt idx="8">
                  <c:v>16</c:v>
                </c:pt>
                <c:pt idx="9">
                  <c:v>16.5</c:v>
                </c:pt>
                <c:pt idx="10">
                  <c:v>17</c:v>
                </c:pt>
                <c:pt idx="11">
                  <c:v>17.5</c:v>
                </c:pt>
                <c:pt idx="12">
                  <c:v>18</c:v>
                </c:pt>
                <c:pt idx="13">
                  <c:v>18.5</c:v>
                </c:pt>
                <c:pt idx="14">
                  <c:v>19</c:v>
                </c:pt>
                <c:pt idx="15">
                  <c:v>19.5</c:v>
                </c:pt>
                <c:pt idx="16">
                  <c:v>20</c:v>
                </c:pt>
                <c:pt idx="17">
                  <c:v>20.5</c:v>
                </c:pt>
                <c:pt idx="18">
                  <c:v>21</c:v>
                </c:pt>
                <c:pt idx="19">
                  <c:v>21.5</c:v>
                </c:pt>
              </c:numCache>
            </c:numRef>
          </c:yVal>
          <c:smooth val="0"/>
        </c:ser>
        <c:ser>
          <c:idx val="1"/>
          <c:order val="1"/>
          <c:tx>
            <c:v>LI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pha_v1_v2_v3!$G$28:$G$43</c:f>
              <c:numCache>
                <c:formatCode>General</c:formatCode>
                <c:ptCount val="16"/>
                <c:pt idx="0">
                  <c:v>0.76611977118289587</c:v>
                </c:pt>
                <c:pt idx="1">
                  <c:v>1.1337565730865495</c:v>
                </c:pt>
                <c:pt idx="2">
                  <c:v>1.6259602880508517</c:v>
                </c:pt>
                <c:pt idx="3">
                  <c:v>2.2703339170741605</c:v>
                </c:pt>
                <c:pt idx="4">
                  <c:v>3.0978665454869412</c:v>
                </c:pt>
                <c:pt idx="5">
                  <c:v>4.14306248774247</c:v>
                </c:pt>
                <c:pt idx="6">
                  <c:v>5.4440659263796434</c:v>
                </c:pt>
                <c:pt idx="7">
                  <c:v>7.0427814893751917</c:v>
                </c:pt>
                <c:pt idx="8">
                  <c:v>8.9849911414213217</c:v>
                </c:pt>
                <c:pt idx="9">
                  <c:v>11.320467710011251</c:v>
                </c:pt>
                <c:pt idx="10">
                  <c:v>14.10308532310489</c:v>
                </c:pt>
                <c:pt idx="11">
                  <c:v>17.390926999095694</c:v>
                </c:pt>
                <c:pt idx="12">
                  <c:v>21.246389600008172</c:v>
                </c:pt>
                <c:pt idx="13">
                  <c:v>25.736286333988915</c:v>
                </c:pt>
                <c:pt idx="14">
                  <c:v>30.931946972211168</c:v>
                </c:pt>
                <c:pt idx="15">
                  <c:v>36.909315927535822</c:v>
                </c:pt>
              </c:numCache>
            </c:numRef>
          </c:xVal>
          <c:yVal>
            <c:numRef>
              <c:f>pha_v1_v2_v3!$B$28:$B$43</c:f>
              <c:numCache>
                <c:formatCode>General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</c:numCache>
            </c:numRef>
          </c:yVal>
          <c:smooth val="0"/>
        </c:ser>
        <c:ser>
          <c:idx val="2"/>
          <c:order val="2"/>
          <c:tx>
            <c:v>GC-200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pha_v1_v2_v3!$M$29:$M$41</c:f>
              <c:numCache>
                <c:formatCode>General</c:formatCode>
                <c:ptCount val="13"/>
                <c:pt idx="0">
                  <c:v>17.437662270587545</c:v>
                </c:pt>
                <c:pt idx="1">
                  <c:v>18.448828983457094</c:v>
                </c:pt>
                <c:pt idx="2">
                  <c:v>19.492134419749767</c:v>
                </c:pt>
                <c:pt idx="3">
                  <c:v>20.567798368826534</c:v>
                </c:pt>
                <c:pt idx="4">
                  <c:v>21.676036897723158</c:v>
                </c:pt>
                <c:pt idx="5">
                  <c:v>22.817062498629959</c:v>
                </c:pt>
                <c:pt idx="6">
                  <c:v>23.99108422733331</c:v>
                </c:pt>
                <c:pt idx="7">
                  <c:v>25.198307833358996</c:v>
                </c:pt>
                <c:pt idx="8">
                  <c:v>26.438935882484401</c:v>
                </c:pt>
                <c:pt idx="9">
                  <c:v>27.713167872217973</c:v>
                </c:pt>
                <c:pt idx="10">
                  <c:v>29.021200340787235</c:v>
                </c:pt>
                <c:pt idx="11">
                  <c:v>30.363226970124565</c:v>
                </c:pt>
                <c:pt idx="12">
                  <c:v>31.739438683293599</c:v>
                </c:pt>
              </c:numCache>
            </c:numRef>
          </c:xVal>
          <c:yVal>
            <c:numRef>
              <c:f>pha_v1_v2_v3!$I$29:$I$41</c:f>
              <c:numCache>
                <c:formatCode>General</c:formatCode>
                <c:ptCount val="13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21.5</c:v>
                </c:pt>
                <c:pt idx="4">
                  <c:v>22</c:v>
                </c:pt>
                <c:pt idx="5">
                  <c:v>22.5</c:v>
                </c:pt>
                <c:pt idx="6">
                  <c:v>23</c:v>
                </c:pt>
                <c:pt idx="7">
                  <c:v>23.5</c:v>
                </c:pt>
                <c:pt idx="8">
                  <c:v>24</c:v>
                </c:pt>
                <c:pt idx="9">
                  <c:v>24.5</c:v>
                </c:pt>
                <c:pt idx="10">
                  <c:v>25</c:v>
                </c:pt>
                <c:pt idx="11">
                  <c:v>25.5</c:v>
                </c:pt>
                <c:pt idx="12">
                  <c:v>26</c:v>
                </c:pt>
              </c:numCache>
            </c:numRef>
          </c:yVal>
          <c:smooth val="0"/>
        </c:ser>
        <c:ser>
          <c:idx val="3"/>
          <c:order val="3"/>
          <c:tx>
            <c:v>GC-725</c:v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pha_v1_v2_v3!$S$29:$S$41</c:f>
              <c:numCache>
                <c:formatCode>General</c:formatCode>
                <c:ptCount val="13"/>
                <c:pt idx="0">
                  <c:v>5.5564482888042059</c:v>
                </c:pt>
                <c:pt idx="1">
                  <c:v>6.2071266860087331</c:v>
                </c:pt>
                <c:pt idx="2">
                  <c:v>6.9104115029111712</c:v>
                </c:pt>
                <c:pt idx="3">
                  <c:v>7.6687672726743612</c:v>
                </c:pt>
                <c:pt idx="4">
                  <c:v>8.4846952505470483</c:v>
                </c:pt>
                <c:pt idx="5">
                  <c:v>9.3607328565803662</c:v>
                </c:pt>
                <c:pt idx="6">
                  <c:v>10.299453142607611</c:v>
                </c:pt>
                <c:pt idx="7">
                  <c:v>11.30346428178064</c:v>
                </c:pt>
                <c:pt idx="8">
                  <c:v>12.375409079120127</c:v>
                </c:pt>
                <c:pt idx="9">
                  <c:v>13.517964501679849</c:v>
                </c:pt>
                <c:pt idx="10">
                  <c:v>14.733841227052736</c:v>
                </c:pt>
                <c:pt idx="11">
                  <c:v>16.02578320905878</c:v>
                </c:pt>
                <c:pt idx="12">
                  <c:v>17.396567259554903</c:v>
                </c:pt>
              </c:numCache>
            </c:numRef>
          </c:xVal>
          <c:yVal>
            <c:numRef>
              <c:f>pha_v1_v2_v3!$O$29:$O$41</c:f>
              <c:numCache>
                <c:formatCode>General</c:formatCode>
                <c:ptCount val="13"/>
                <c:pt idx="0">
                  <c:v>15.5</c:v>
                </c:pt>
                <c:pt idx="1">
                  <c:v>16</c:v>
                </c:pt>
                <c:pt idx="2">
                  <c:v>16.5</c:v>
                </c:pt>
                <c:pt idx="3">
                  <c:v>17</c:v>
                </c:pt>
                <c:pt idx="4">
                  <c:v>17.5</c:v>
                </c:pt>
                <c:pt idx="5">
                  <c:v>18</c:v>
                </c:pt>
                <c:pt idx="6">
                  <c:v>18.5</c:v>
                </c:pt>
                <c:pt idx="7">
                  <c:v>19</c:v>
                </c:pt>
                <c:pt idx="8">
                  <c:v>19.5</c:v>
                </c:pt>
                <c:pt idx="9">
                  <c:v>20</c:v>
                </c:pt>
                <c:pt idx="10">
                  <c:v>20.5</c:v>
                </c:pt>
                <c:pt idx="11">
                  <c:v>21</c:v>
                </c:pt>
                <c:pt idx="12">
                  <c:v>21.5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03200"/>
        <c:axId val="274203776"/>
      </c:scatterChart>
      <c:valAx>
        <c:axId val="2742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crown mass [kg TM]</a:t>
                </a:r>
              </a:p>
            </c:rich>
          </c:tx>
          <c:layout>
            <c:manualLayout>
              <c:xMode val="edge"/>
              <c:yMode val="edge"/>
              <c:x val="0.40898058252427183"/>
              <c:y val="0.907270275426097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4203776"/>
        <c:crosses val="autoZero"/>
        <c:crossBetween val="midCat"/>
      </c:valAx>
      <c:valAx>
        <c:axId val="27420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 [m]
</a:t>
                </a:r>
              </a:p>
            </c:rich>
          </c:tx>
          <c:layout>
            <c:manualLayout>
              <c:xMode val="edge"/>
              <c:yMode val="edge"/>
              <c:x val="6.0679611650485436E-3"/>
              <c:y val="0.398497293101520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42032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262135922330101"/>
          <c:y val="0.36842184200659128"/>
          <c:w val="7.7669902912621325E-2"/>
          <c:h val="0.21303310770364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1227364185111"/>
          <c:y val="0.11836734693877551"/>
          <c:w val="0.83501006036217307"/>
          <c:h val="0.62857142857142856"/>
        </c:manualLayout>
      </c:layout>
      <c:scatterChart>
        <c:scatterStyle val="lineMarker"/>
        <c:varyColors val="0"/>
        <c:ser>
          <c:idx val="0"/>
          <c:order val="0"/>
          <c:tx>
            <c:strRef>
              <c:f>crown_a!$D$45</c:f>
              <c:strCache>
                <c:ptCount val="1"/>
                <c:pt idx="0">
                  <c:v>Kronenbreite (m)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crown_a!$C$46:$C$59</c:f>
              <c:numCache>
                <c:formatCode>General</c:formatCode>
                <c:ptCount val="14"/>
                <c:pt idx="0">
                  <c:v>12.9</c:v>
                </c:pt>
                <c:pt idx="1">
                  <c:v>24.1</c:v>
                </c:pt>
                <c:pt idx="2">
                  <c:v>32.299999999999997</c:v>
                </c:pt>
                <c:pt idx="3">
                  <c:v>32.5</c:v>
                </c:pt>
                <c:pt idx="4">
                  <c:v>41.2</c:v>
                </c:pt>
                <c:pt idx="5">
                  <c:v>49.4</c:v>
                </c:pt>
                <c:pt idx="6">
                  <c:v>25.4</c:v>
                </c:pt>
                <c:pt idx="7">
                  <c:v>27.5</c:v>
                </c:pt>
                <c:pt idx="8">
                  <c:v>26.9</c:v>
                </c:pt>
                <c:pt idx="9">
                  <c:v>25.6</c:v>
                </c:pt>
                <c:pt idx="10">
                  <c:v>22.9</c:v>
                </c:pt>
                <c:pt idx="11">
                  <c:v>22</c:v>
                </c:pt>
                <c:pt idx="12">
                  <c:v>35.6</c:v>
                </c:pt>
                <c:pt idx="13">
                  <c:v>9.1</c:v>
                </c:pt>
              </c:numCache>
            </c:numRef>
          </c:xVal>
          <c:yVal>
            <c:numRef>
              <c:f>crown_a!$D$46:$D$59</c:f>
              <c:numCache>
                <c:formatCode>General</c:formatCode>
                <c:ptCount val="14"/>
                <c:pt idx="0">
                  <c:v>2.6</c:v>
                </c:pt>
                <c:pt idx="1">
                  <c:v>3.3</c:v>
                </c:pt>
                <c:pt idx="2">
                  <c:v>4.8</c:v>
                </c:pt>
                <c:pt idx="3">
                  <c:v>4.5</c:v>
                </c:pt>
                <c:pt idx="4">
                  <c:v>5.0999999999999996</c:v>
                </c:pt>
                <c:pt idx="5">
                  <c:v>8.4</c:v>
                </c:pt>
                <c:pt idx="6">
                  <c:v>3.7</c:v>
                </c:pt>
                <c:pt idx="7">
                  <c:v>3.4</c:v>
                </c:pt>
                <c:pt idx="8">
                  <c:v>4.2</c:v>
                </c:pt>
                <c:pt idx="9">
                  <c:v>4.3</c:v>
                </c:pt>
                <c:pt idx="10">
                  <c:v>3.9</c:v>
                </c:pt>
                <c:pt idx="11">
                  <c:v>3.3</c:v>
                </c:pt>
                <c:pt idx="12">
                  <c:v>5.0999999999999996</c:v>
                </c:pt>
                <c:pt idx="13">
                  <c:v>2.8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252224"/>
        <c:axId val="273367040"/>
      </c:scatterChart>
      <c:valAx>
        <c:axId val="27225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 (cm)</a:t>
                </a:r>
              </a:p>
            </c:rich>
          </c:tx>
          <c:layout>
            <c:manualLayout>
              <c:xMode val="edge"/>
              <c:yMode val="edge"/>
              <c:x val="0.48289738430583501"/>
              <c:y val="0.8571428571428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367040"/>
        <c:crossesAt val="0"/>
        <c:crossBetween val="midCat"/>
      </c:valAx>
      <c:valAx>
        <c:axId val="273367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Kronenbreite (m)</a:t>
                </a:r>
              </a:p>
            </c:rich>
          </c:tx>
          <c:layout>
            <c:manualLayout>
              <c:xMode val="edge"/>
              <c:yMode val="edge"/>
              <c:x val="4.4265593561368208E-2"/>
              <c:y val="0.232653061224489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2252224"/>
        <c:crossesAt val="0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Bauhus (2004)</a:t>
            </a:r>
          </a:p>
        </c:rich>
      </c:tx>
      <c:layout>
        <c:manualLayout>
          <c:xMode val="edge"/>
          <c:yMode val="edge"/>
          <c:x val="0.39376300184699131"/>
          <c:y val="4.67625899280575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8072513235017"/>
          <c:y val="0.40287769784172661"/>
          <c:w val="0.83041093752082096"/>
          <c:h val="0.35971223021582732"/>
        </c:manualLayout>
      </c:layout>
      <c:scatterChart>
        <c:scatterStyle val="lineMarker"/>
        <c:varyColors val="0"/>
        <c:ser>
          <c:idx val="0"/>
          <c:order val="0"/>
          <c:tx>
            <c:strRef>
              <c:f>crown_a!$C$90</c:f>
              <c:strCache>
                <c:ptCount val="1"/>
                <c:pt idx="0">
                  <c:v>crown diameter [m]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crown_a!$B$91:$B$95</c:f>
              <c:numCache>
                <c:formatCode>General</c:formatCode>
                <c:ptCount val="5"/>
                <c:pt idx="0">
                  <c:v>17.5</c:v>
                </c:pt>
                <c:pt idx="1">
                  <c:v>16.899999999999999</c:v>
                </c:pt>
                <c:pt idx="2">
                  <c:v>16</c:v>
                </c:pt>
                <c:pt idx="3">
                  <c:v>12.2</c:v>
                </c:pt>
                <c:pt idx="4">
                  <c:v>3.71</c:v>
                </c:pt>
              </c:numCache>
            </c:numRef>
          </c:xVal>
          <c:yVal>
            <c:numRef>
              <c:f>crown_a!$C$91:$C$95</c:f>
              <c:numCache>
                <c:formatCode>General</c:formatCode>
                <c:ptCount val="5"/>
                <c:pt idx="0">
                  <c:v>6.2</c:v>
                </c:pt>
                <c:pt idx="1">
                  <c:v>4.8</c:v>
                </c:pt>
                <c:pt idx="2">
                  <c:v>3.9</c:v>
                </c:pt>
                <c:pt idx="3">
                  <c:v>3.4</c:v>
                </c:pt>
                <c:pt idx="4">
                  <c:v>0.81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369344"/>
        <c:axId val="273369920"/>
      </c:scatterChart>
      <c:valAx>
        <c:axId val="2733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DBH (cm)</a:t>
                </a:r>
              </a:p>
            </c:rich>
          </c:tx>
          <c:layout>
            <c:manualLayout>
              <c:xMode val="edge"/>
              <c:yMode val="edge"/>
              <c:x val="0.48343161783139676"/>
              <c:y val="0.870503597122302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369920"/>
        <c:crossesAt val="0"/>
        <c:crossBetween val="midCat"/>
      </c:valAx>
      <c:valAx>
        <c:axId val="27336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crown diameter (m)</a:t>
                </a:r>
              </a:p>
            </c:rich>
          </c:tx>
          <c:layout>
            <c:manualLayout>
              <c:xMode val="edge"/>
              <c:yMode val="edge"/>
              <c:x val="4.2884990253411304E-2"/>
              <c:y val="0.374100719424460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369344"/>
        <c:crossesAt val="0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343146906520073E-2"/>
          <c:y val="6.5491264428605686E-2"/>
          <c:w val="0.77508213093227096"/>
          <c:h val="0.82115970014328676"/>
        </c:manualLayout>
      </c:layout>
      <c:scatterChart>
        <c:scatterStyle val="smoothMarker"/>
        <c:varyColors val="0"/>
        <c:ser>
          <c:idx val="0"/>
          <c:order val="0"/>
          <c:tx>
            <c:v>LC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Kronenansatzhöhe!$B$9:$B$29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Kronenansatzhöhe!$C$9:$C$29</c:f>
              <c:numCache>
                <c:formatCode>General</c:formatCode>
                <c:ptCount val="21"/>
                <c:pt idx="0">
                  <c:v>0.92506938020351526</c:v>
                </c:pt>
                <c:pt idx="1">
                  <c:v>1.7873100983020553</c:v>
                </c:pt>
                <c:pt idx="2">
                  <c:v>3.3472803347280338</c:v>
                </c:pt>
                <c:pt idx="3">
                  <c:v>4.7206923682140047</c:v>
                </c:pt>
                <c:pt idx="4">
                  <c:v>5.9391239792130666</c:v>
                </c:pt>
                <c:pt idx="5">
                  <c:v>7.0274068868587491</c:v>
                </c:pt>
                <c:pt idx="6">
                  <c:v>8.0053368912608409</c:v>
                </c:pt>
                <c:pt idx="7">
                  <c:v>8.8888888888888893</c:v>
                </c:pt>
                <c:pt idx="8">
                  <c:v>9.691096305269534</c:v>
                </c:pt>
                <c:pt idx="9">
                  <c:v>10.422698320787493</c:v>
                </c:pt>
                <c:pt idx="10">
                  <c:v>11.092623405435386</c:v>
                </c:pt>
                <c:pt idx="11">
                  <c:v>11.708355508249069</c:v>
                </c:pt>
                <c:pt idx="12">
                  <c:v>12.276214833759592</c:v>
                </c:pt>
                <c:pt idx="13">
                  <c:v>12.801575578532745</c:v>
                </c:pt>
                <c:pt idx="14">
                  <c:v>13.289036544850497</c:v>
                </c:pt>
                <c:pt idx="15">
                  <c:v>13.742556115437472</c:v>
                </c:pt>
                <c:pt idx="16">
                  <c:v>14.16555998229305</c:v>
                </c:pt>
                <c:pt idx="17">
                  <c:v>14.5610278372591</c:v>
                </c:pt>
                <c:pt idx="18">
                  <c:v>14.931563666528413</c:v>
                </c:pt>
                <c:pt idx="19">
                  <c:v>15.279453156413348</c:v>
                </c:pt>
                <c:pt idx="20">
                  <c:v>15.606710885680844</c:v>
                </c:pt>
              </c:numCache>
            </c:numRef>
          </c:yVal>
          <c:smooth val="1"/>
        </c:ser>
        <c:ser>
          <c:idx val="1"/>
          <c:order val="1"/>
          <c:tx>
            <c:v>H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Kronenansatzhöhe!$B$9:$B$29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Kronenansatzhöhe!$D$9:$D$29</c:f>
              <c:numCache>
                <c:formatCode>General</c:formatCode>
                <c:ptCount val="21"/>
                <c:pt idx="0">
                  <c:v>1.2674271229404308</c:v>
                </c:pt>
                <c:pt idx="1">
                  <c:v>2.4752475247524752</c:v>
                </c:pt>
                <c:pt idx="2">
                  <c:v>4.7281323877068555</c:v>
                </c:pt>
                <c:pt idx="3">
                  <c:v>6.7873303167420813</c:v>
                </c:pt>
                <c:pt idx="4">
                  <c:v>8.676789587852495</c:v>
                </c:pt>
                <c:pt idx="5">
                  <c:v>10.416666666666668</c:v>
                </c:pt>
                <c:pt idx="6">
                  <c:v>12.024048096192384</c:v>
                </c:pt>
                <c:pt idx="7">
                  <c:v>13.513513513513512</c:v>
                </c:pt>
                <c:pt idx="8">
                  <c:v>14.897579143389198</c:v>
                </c:pt>
                <c:pt idx="9">
                  <c:v>16.187050359712227</c:v>
                </c:pt>
                <c:pt idx="10">
                  <c:v>17.39130434782609</c:v>
                </c:pt>
                <c:pt idx="11">
                  <c:v>18.518518518518519</c:v>
                </c:pt>
                <c:pt idx="12">
                  <c:v>19.575856443719413</c:v>
                </c:pt>
                <c:pt idx="13">
                  <c:v>20.569620253164558</c:v>
                </c:pt>
                <c:pt idx="14">
                  <c:v>21.50537634408602</c:v>
                </c:pt>
                <c:pt idx="15">
                  <c:v>22.388059701492541</c:v>
                </c:pt>
                <c:pt idx="16">
                  <c:v>23.222060957910013</c:v>
                </c:pt>
                <c:pt idx="17">
                  <c:v>24.011299435028249</c:v>
                </c:pt>
                <c:pt idx="18">
                  <c:v>24.759284731774414</c:v>
                </c:pt>
                <c:pt idx="19">
                  <c:v>25.469168900804291</c:v>
                </c:pt>
                <c:pt idx="20">
                  <c:v>26.143790849673202</c:v>
                </c:pt>
              </c:numCache>
            </c:numRef>
          </c:yVal>
          <c:smooth val="1"/>
        </c:ser>
        <c:ser>
          <c:idx val="2"/>
          <c:order val="2"/>
          <c:tx>
            <c:v>HBC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Kronenansatzhöhe!$B$9:$B$29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Kronenansatzhöhe!$E$9:$E$29</c:f>
              <c:numCache>
                <c:formatCode>General</c:formatCode>
                <c:ptCount val="21"/>
                <c:pt idx="0">
                  <c:v>0.34235774273691555</c:v>
                </c:pt>
                <c:pt idx="1">
                  <c:v>0.68793742645041989</c:v>
                </c:pt>
                <c:pt idx="2">
                  <c:v>1.3808520529788217</c:v>
                </c:pt>
                <c:pt idx="3">
                  <c:v>2.0666379485280766</c:v>
                </c:pt>
                <c:pt idx="4">
                  <c:v>2.7376656086394284</c:v>
                </c:pt>
                <c:pt idx="5">
                  <c:v>3.3892597798079187</c:v>
                </c:pt>
                <c:pt idx="6">
                  <c:v>4.0187112049315434</c:v>
                </c:pt>
                <c:pt idx="7">
                  <c:v>4.624624624624623</c:v>
                </c:pt>
                <c:pt idx="8">
                  <c:v>5.2064828381196637</c:v>
                </c:pt>
                <c:pt idx="9">
                  <c:v>5.7643520389247342</c:v>
                </c:pt>
                <c:pt idx="10">
                  <c:v>6.2986809423907033</c:v>
                </c:pt>
                <c:pt idx="11">
                  <c:v>6.8101630102694504</c:v>
                </c:pt>
                <c:pt idx="12">
                  <c:v>7.2996416099598207</c:v>
                </c:pt>
                <c:pt idx="13">
                  <c:v>7.7680446746318133</c:v>
                </c:pt>
                <c:pt idx="14">
                  <c:v>8.2163397992355236</c:v>
                </c:pt>
                <c:pt idx="15">
                  <c:v>8.6455035860550691</c:v>
                </c:pt>
                <c:pt idx="16">
                  <c:v>9.056500975616963</c:v>
                </c:pt>
                <c:pt idx="17">
                  <c:v>9.4502715977691487</c:v>
                </c:pt>
                <c:pt idx="18">
                  <c:v>9.827721065246001</c:v>
                </c:pt>
                <c:pt idx="19">
                  <c:v>10.189715744390943</c:v>
                </c:pt>
                <c:pt idx="20">
                  <c:v>10.537079963992358</c:v>
                </c:pt>
              </c:numCache>
            </c:numRef>
          </c:yVal>
          <c:smooth val="1"/>
        </c:ser>
        <c:ser>
          <c:idx val="3"/>
          <c:order val="3"/>
          <c:tx>
            <c:v>Nutto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Kronenansatzhöhe!$B$9:$B$29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Kronenansatzhöhe!$F$9:$F$29</c:f>
              <c:numCache>
                <c:formatCode>General</c:formatCode>
                <c:ptCount val="21"/>
                <c:pt idx="0">
                  <c:v>0.59304055766793407</c:v>
                </c:pt>
                <c:pt idx="1">
                  <c:v>1.6269702970297031</c:v>
                </c:pt>
                <c:pt idx="2">
                  <c:v>3.5006619385342796</c:v>
                </c:pt>
                <c:pt idx="3">
                  <c:v>5.1432850678733031</c:v>
                </c:pt>
                <c:pt idx="4">
                  <c:v>6.5834099783080271</c:v>
                </c:pt>
                <c:pt idx="5">
                  <c:v>7.8450833333333367</c:v>
                </c:pt>
                <c:pt idx="6">
                  <c:v>8.9486893787575159</c:v>
                </c:pt>
                <c:pt idx="7">
                  <c:v>9.911621621621622</c:v>
                </c:pt>
                <c:pt idx="8">
                  <c:v>10.748811918063316</c:v>
                </c:pt>
                <c:pt idx="9">
                  <c:v>11.47315107913669</c:v>
                </c:pt>
                <c:pt idx="10">
                  <c:v>12.095826086956526</c:v>
                </c:pt>
                <c:pt idx="11">
                  <c:v>12.626592592592596</c:v>
                </c:pt>
                <c:pt idx="12">
                  <c:v>13.073996737357261</c:v>
                </c:pt>
                <c:pt idx="13">
                  <c:v>13.44555696202532</c:v>
                </c:pt>
                <c:pt idx="14">
                  <c:v>13.747913978494624</c:v>
                </c:pt>
                <c:pt idx="15">
                  <c:v>13.986955223880601</c:v>
                </c:pt>
                <c:pt idx="16">
                  <c:v>14.167918722786647</c:v>
                </c:pt>
                <c:pt idx="17">
                  <c:v>14.295480225988703</c:v>
                </c:pt>
                <c:pt idx="18">
                  <c:v>14.373826685006877</c:v>
                </c:pt>
                <c:pt idx="19">
                  <c:v>14.40671849865952</c:v>
                </c:pt>
                <c:pt idx="20">
                  <c:v>14.397542483660132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397376"/>
        <c:axId val="273397952"/>
      </c:scatterChart>
      <c:valAx>
        <c:axId val="2733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397952"/>
        <c:crosses val="autoZero"/>
        <c:crossBetween val="midCat"/>
      </c:valAx>
      <c:valAx>
        <c:axId val="273397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3973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78640776699024"/>
          <c:y val="0.37027707808564231"/>
          <c:w val="0.11488673139158576"/>
          <c:h val="0.21410579345088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3196807957"/>
          <c:y val="0.10330578512396695"/>
          <c:w val="0.83783894351634225"/>
          <c:h val="0.7272727272727272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psla_a!$B$13:$B$14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xVal>
          <c:yVal>
            <c:numRef>
              <c:f>psla_a!$C$13:$C$14</c:f>
              <c:numCache>
                <c:formatCode>General</c:formatCode>
                <c:ptCount val="2"/>
                <c:pt idx="0">
                  <c:v>13.7</c:v>
                </c:pt>
                <c:pt idx="1">
                  <c:v>0.18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204352"/>
        <c:axId val="274204928"/>
      </c:scatterChart>
      <c:valAx>
        <c:axId val="2742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4204928"/>
        <c:crosses val="autoZero"/>
        <c:crossBetween val="midCat"/>
      </c:valAx>
      <c:valAx>
        <c:axId val="27420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42043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9138063922986"/>
          <c:y val="5.5557443345405376E-2"/>
          <c:w val="0.70575253673847316"/>
          <c:h val="0.81252760892655362"/>
        </c:manualLayout>
      </c:layout>
      <c:scatterChart>
        <c:scatterStyle val="lineMarker"/>
        <c:varyColors val="0"/>
        <c:ser>
          <c:idx val="0"/>
          <c:order val="0"/>
          <c:tx>
            <c:strRef>
              <c:f>k_opm_fol!$P$3:$P$3</c:f>
              <c:strCache>
                <c:ptCount val="1"/>
                <c:pt idx="0">
                  <c:v>PF1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k_opm_fol!$O$4:$O$18</c:f>
              <c:numCache>
                <c:formatCode>General</c:formatCode>
                <c:ptCount val="15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</c:numCache>
            </c:numRef>
          </c:xVal>
          <c:yVal>
            <c:numRef>
              <c:f>k_opm_fol!$P$4:$P$18</c:f>
              <c:numCache>
                <c:formatCode>0.00</c:formatCode>
                <c:ptCount val="15"/>
                <c:pt idx="0">
                  <c:v>1</c:v>
                </c:pt>
                <c:pt idx="1">
                  <c:v>0.77835448014218267</c:v>
                </c:pt>
                <c:pt idx="2">
                  <c:v>0.53449491003157168</c:v>
                </c:pt>
                <c:pt idx="3">
                  <c:v>0.39076473254822347</c:v>
                </c:pt>
                <c:pt idx="4">
                  <c:v>0.28568480884965791</c:v>
                </c:pt>
                <c:pt idx="5">
                  <c:v>8.1615810007465567E-2</c:v>
                </c:pt>
                <c:pt idx="6">
                  <c:v>2.3316397081092784E-2</c:v>
                </c:pt>
                <c:pt idx="7">
                  <c:v>1.2462495560119091E-2</c:v>
                </c:pt>
                <c:pt idx="8">
                  <c:v>6.661140443174716E-3</c:v>
                </c:pt>
                <c:pt idx="9">
                  <c:v>3.560345661882331E-3</c:v>
                </c:pt>
                <c:pt idx="10">
                  <c:v>1.9029866342290935E-3</c:v>
                </c:pt>
                <c:pt idx="11">
                  <c:v>1.0171366698535629E-3</c:v>
                </c:pt>
                <c:pt idx="12">
                  <c:v>5.4365437284319216E-4</c:v>
                </c:pt>
                <c:pt idx="13">
                  <c:v>2.905804951010928E-4</c:v>
                </c:pt>
                <c:pt idx="14">
                  <c:v>1.5531379558598806E-4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k_opm_fol!$Q$3:$Q$3</c:f>
              <c:strCache>
                <c:ptCount val="1"/>
                <c:pt idx="0">
                  <c:v>PF1_2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k_opm_fol!$O$4:$O$18</c:f>
              <c:numCache>
                <c:formatCode>General</c:formatCode>
                <c:ptCount val="15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</c:numCache>
            </c:numRef>
          </c:xVal>
          <c:yVal>
            <c:numRef>
              <c:f>k_opm_fol!$Q$4:$Q$18</c:f>
              <c:numCache>
                <c:formatCode>0.00</c:formatCode>
                <c:ptCount val="15"/>
                <c:pt idx="0">
                  <c:v>1</c:v>
                </c:pt>
                <c:pt idx="1">
                  <c:v>0.75358492760641893</c:v>
                </c:pt>
                <c:pt idx="2">
                  <c:v>0.49298137177200302</c:v>
                </c:pt>
                <c:pt idx="3">
                  <c:v>0.34613519728086495</c:v>
                </c:pt>
                <c:pt idx="4">
                  <c:v>0.24303063291420585</c:v>
                </c:pt>
                <c:pt idx="5">
                  <c:v>5.9063888534679469E-2</c:v>
                </c:pt>
                <c:pt idx="6">
                  <c:v>1.4354334212957254E-2</c:v>
                </c:pt>
                <c:pt idx="7">
                  <c:v>7.0764193711774634E-3</c:v>
                </c:pt>
                <c:pt idx="8">
                  <c:v>3.488542928837041E-3</c:v>
                </c:pt>
                <c:pt idx="9">
                  <c:v>1.7197866785436057E-3</c:v>
                </c:pt>
                <c:pt idx="10">
                  <c:v>8.478227959436436E-4</c:v>
                </c:pt>
                <c:pt idx="11">
                  <c:v>4.1796084496387246E-4</c:v>
                </c:pt>
                <c:pt idx="12">
                  <c:v>2.0604691069727515E-4</c:v>
                </c:pt>
                <c:pt idx="13">
                  <c:v>1.015772886849262E-4</c:v>
                </c:pt>
                <c:pt idx="14">
                  <c:v>5.0075711116775637E-5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k_opm_fol!$R$3:$R$3</c:f>
              <c:strCache>
                <c:ptCount val="1"/>
                <c:pt idx="0">
                  <c:v>HS2</c:v>
                </c:pt>
              </c:strCache>
            </c:strRef>
          </c:tx>
          <c:spPr>
            <a:ln w="12700">
              <a:solidFill>
                <a:srgbClr val="8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8080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k_opm_fol!$R$4:$R$19</c:f>
              <c:numCache>
                <c:formatCode>0.00</c:formatCode>
                <c:ptCount val="16"/>
                <c:pt idx="0">
                  <c:v>1</c:v>
                </c:pt>
                <c:pt idx="1">
                  <c:v>0.83031741317906138</c:v>
                </c:pt>
                <c:pt idx="2">
                  <c:v>0.62821798400656215</c:v>
                </c:pt>
                <c:pt idx="3">
                  <c:v>0.49792685180231949</c:v>
                </c:pt>
                <c:pt idx="4">
                  <c:v>0.39465783542926913</c:v>
                </c:pt>
                <c:pt idx="5">
                  <c:v>0.15575480706571607</c:v>
                </c:pt>
                <c:pt idx="6">
                  <c:v>6.1469855014258952E-2</c:v>
                </c:pt>
                <c:pt idx="7">
                  <c:v>3.8616468394233404E-2</c:v>
                </c:pt>
                <c:pt idx="8">
                  <c:v>2.4259559924078435E-2</c:v>
                </c:pt>
                <c:pt idx="9">
                  <c:v>1.5240291828390944E-2</c:v>
                </c:pt>
                <c:pt idx="10">
                  <c:v>9.5742254081034421E-3</c:v>
                </c:pt>
                <c:pt idx="11">
                  <c:v>6.0147005843031497E-3</c:v>
                </c:pt>
                <c:pt idx="12">
                  <c:v>3.778543075474016E-3</c:v>
                </c:pt>
                <c:pt idx="13">
                  <c:v>2.3737487133562397E-3</c:v>
                </c:pt>
                <c:pt idx="14">
                  <c:v>1.4912316312428277E-3</c:v>
                </c:pt>
                <c:pt idx="15">
                  <c:v>9.3681852906618633E-4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k_opm_fol!$S$3:$S$3</c:f>
              <c:strCache>
                <c:ptCount val="1"/>
                <c:pt idx="0">
                  <c:v>Stape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k_opm_fol!$S$4:$S$19</c:f>
              <c:numCache>
                <c:formatCode>0.00</c:formatCode>
                <c:ptCount val="16"/>
                <c:pt idx="0">
                  <c:v>1</c:v>
                </c:pt>
                <c:pt idx="1">
                  <c:v>0.86588774805920499</c:v>
                </c:pt>
                <c:pt idx="2">
                  <c:v>0.69767632607103103</c:v>
                </c:pt>
                <c:pt idx="3">
                  <c:v>0.58274825237398964</c:v>
                </c:pt>
                <c:pt idx="4">
                  <c:v>0.48675225595997168</c:v>
                </c:pt>
                <c:pt idx="5">
                  <c:v>0.23692775868212176</c:v>
                </c:pt>
                <c:pt idx="6">
                  <c:v>0.11532512103806251</c:v>
                </c:pt>
                <c:pt idx="7">
                  <c:v>8.0459606749532439E-2</c:v>
                </c:pt>
                <c:pt idx="8">
                  <c:v>5.6134762834133725E-2</c:v>
                </c:pt>
                <c:pt idx="9">
                  <c:v>3.916389509898708E-2</c:v>
                </c:pt>
                <c:pt idx="10">
                  <c:v>2.7323722447292559E-2</c:v>
                </c:pt>
                <c:pt idx="11">
                  <c:v>1.9063114291611637E-2</c:v>
                </c:pt>
                <c:pt idx="12">
                  <c:v>1.3299883542443767E-2</c:v>
                </c:pt>
                <c:pt idx="13">
                  <c:v>9.2790138870647437E-3</c:v>
                </c:pt>
                <c:pt idx="14">
                  <c:v>6.4737483182894049E-3</c:v>
                </c:pt>
                <c:pt idx="15">
                  <c:v>4.5165809426126703E-3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k_opm_fol!$T$3:$T$3</c:f>
              <c:strCache>
                <c:ptCount val="1"/>
                <c:pt idx="0">
                  <c:v>Freier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k_opm_fol!$T$4:$T$19</c:f>
              <c:numCache>
                <c:formatCode>0.00</c:formatCode>
                <c:ptCount val="16"/>
                <c:pt idx="0">
                  <c:v>1</c:v>
                </c:pt>
                <c:pt idx="1">
                  <c:v>0.44932896411722156</c:v>
                </c:pt>
                <c:pt idx="2">
                  <c:v>0.1353352832366127</c:v>
                </c:pt>
                <c:pt idx="3">
                  <c:v>4.9787068367863944E-2</c:v>
                </c:pt>
                <c:pt idx="4">
                  <c:v>1.8315638888734179E-2</c:v>
                </c:pt>
                <c:pt idx="5">
                  <c:v>3.3546262790251185E-4</c:v>
                </c:pt>
                <c:pt idx="6">
                  <c:v>6.1442123533282098E-6</c:v>
                </c:pt>
                <c:pt idx="7">
                  <c:v>8.3152871910356788E-7</c:v>
                </c:pt>
                <c:pt idx="8">
                  <c:v>1.1253517471925912E-7</c:v>
                </c:pt>
                <c:pt idx="9">
                  <c:v>1.5229979744712629E-8</c:v>
                </c:pt>
                <c:pt idx="10">
                  <c:v>2.0611536224385579E-9</c:v>
                </c:pt>
                <c:pt idx="11">
                  <c:v>2.7894680928689246E-10</c:v>
                </c:pt>
                <c:pt idx="12">
                  <c:v>3.7751345442790977E-11</c:v>
                </c:pt>
                <c:pt idx="13">
                  <c:v>5.1090890280633251E-12</c:v>
                </c:pt>
                <c:pt idx="14">
                  <c:v>6.914400106940203E-13</c:v>
                </c:pt>
                <c:pt idx="15">
                  <c:v>9.3576229688401748E-14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k_opm_fol!$U$3:$U$3</c:f>
              <c:strCache>
                <c:ptCount val="1"/>
                <c:pt idx="0">
                  <c:v>Freier_1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k_opm_fol!$U$4:$U$19</c:f>
              <c:numCache>
                <c:formatCode>0.00</c:formatCode>
                <c:ptCount val="16"/>
                <c:pt idx="0">
                  <c:v>1</c:v>
                </c:pt>
                <c:pt idx="1">
                  <c:v>0.20597509820488344</c:v>
                </c:pt>
                <c:pt idx="2">
                  <c:v>1.925470177538692E-2</c:v>
                </c:pt>
                <c:pt idx="3">
                  <c:v>2.6718076851994506E-3</c:v>
                </c:pt>
                <c:pt idx="4">
                  <c:v>3.7074354045908822E-4</c:v>
                </c:pt>
                <c:pt idx="5">
                  <c:v>1.374507727921396E-7</c:v>
                </c:pt>
                <c:pt idx="6">
                  <c:v>5.0958986143795644E-11</c:v>
                </c:pt>
                <c:pt idx="7">
                  <c:v>9.8120008097486041E-13</c:v>
                </c:pt>
                <c:pt idx="8">
                  <c:v>1.8892714941156384E-14</c:v>
                </c:pt>
                <c:pt idx="9">
                  <c:v>3.6377359191936444E-16</c:v>
                </c:pt>
                <c:pt idx="10">
                  <c:v>7.0043520261686453E-18</c:v>
                </c:pt>
                <c:pt idx="11">
                  <c:v>1.3486670939370404E-19</c:v>
                </c:pt>
                <c:pt idx="12">
                  <c:v>2.5968182688035566E-21</c:v>
                </c:pt>
                <c:pt idx="13">
                  <c:v>5.0000961330688895E-23</c:v>
                </c:pt>
                <c:pt idx="14">
                  <c:v>9.6275359890507261E-25</c:v>
                </c:pt>
                <c:pt idx="15">
                  <c:v>1.8537533430097598E-26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373376"/>
        <c:axId val="273373952"/>
      </c:scatterChart>
      <c:valAx>
        <c:axId val="27337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73373952"/>
        <c:crossesAt val="0"/>
        <c:crossBetween val="midCat"/>
      </c:valAx>
      <c:valAx>
        <c:axId val="2733739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73373376"/>
        <c:crossesAt val="0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221207738178907"/>
          <c:y val="0.23959147442706069"/>
          <c:w val="0.22136149676298972"/>
          <c:h val="0.500016990108648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9138063922986"/>
          <c:y val="5.5557443345405376E-2"/>
          <c:w val="0.70575253673847316"/>
          <c:h val="0.81252760892655362"/>
        </c:manualLayout>
      </c:layout>
      <c:scatterChart>
        <c:scatterStyle val="lineMarker"/>
        <c:varyColors val="0"/>
        <c:ser>
          <c:idx val="0"/>
          <c:order val="0"/>
          <c:tx>
            <c:strRef>
              <c:f>k_opm_fol!$P$3:$P$3</c:f>
              <c:strCache>
                <c:ptCount val="1"/>
                <c:pt idx="0">
                  <c:v>PF1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k_opm_fol!$O$4:$O$18</c:f>
              <c:numCache>
                <c:formatCode>General</c:formatCode>
                <c:ptCount val="15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</c:numCache>
            </c:numRef>
          </c:xVal>
          <c:yVal>
            <c:numRef>
              <c:f>k_opm_fol!$P$4:$P$18</c:f>
              <c:numCache>
                <c:formatCode>0.00</c:formatCode>
                <c:ptCount val="15"/>
                <c:pt idx="0">
                  <c:v>1</c:v>
                </c:pt>
                <c:pt idx="1">
                  <c:v>0.77835448014218267</c:v>
                </c:pt>
                <c:pt idx="2">
                  <c:v>0.53449491003157168</c:v>
                </c:pt>
                <c:pt idx="3">
                  <c:v>0.39076473254822347</c:v>
                </c:pt>
                <c:pt idx="4">
                  <c:v>0.28568480884965791</c:v>
                </c:pt>
                <c:pt idx="5">
                  <c:v>8.1615810007465567E-2</c:v>
                </c:pt>
                <c:pt idx="6">
                  <c:v>2.3316397081092784E-2</c:v>
                </c:pt>
                <c:pt idx="7">
                  <c:v>1.2462495560119091E-2</c:v>
                </c:pt>
                <c:pt idx="8">
                  <c:v>6.661140443174716E-3</c:v>
                </c:pt>
                <c:pt idx="9">
                  <c:v>3.560345661882331E-3</c:v>
                </c:pt>
                <c:pt idx="10">
                  <c:v>1.9029866342290935E-3</c:v>
                </c:pt>
                <c:pt idx="11">
                  <c:v>1.0171366698535629E-3</c:v>
                </c:pt>
                <c:pt idx="12">
                  <c:v>5.4365437284319216E-4</c:v>
                </c:pt>
                <c:pt idx="13">
                  <c:v>2.905804951010928E-4</c:v>
                </c:pt>
                <c:pt idx="14">
                  <c:v>1.5531379558598806E-4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k_opm_fol!$Q$3:$Q$3</c:f>
              <c:strCache>
                <c:ptCount val="1"/>
                <c:pt idx="0">
                  <c:v>PF1_2</c:v>
                </c:pt>
              </c:strCache>
            </c:strRef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k_opm_fol!$O$4:$O$18</c:f>
              <c:numCache>
                <c:formatCode>General</c:formatCode>
                <c:ptCount val="15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</c:numCache>
            </c:numRef>
          </c:xVal>
          <c:yVal>
            <c:numRef>
              <c:f>k_opm_fol!$Q$4:$Q$18</c:f>
              <c:numCache>
                <c:formatCode>0.00</c:formatCode>
                <c:ptCount val="15"/>
                <c:pt idx="0">
                  <c:v>1</c:v>
                </c:pt>
                <c:pt idx="1">
                  <c:v>0.75358492760641893</c:v>
                </c:pt>
                <c:pt idx="2">
                  <c:v>0.49298137177200302</c:v>
                </c:pt>
                <c:pt idx="3">
                  <c:v>0.34613519728086495</c:v>
                </c:pt>
                <c:pt idx="4">
                  <c:v>0.24303063291420585</c:v>
                </c:pt>
                <c:pt idx="5">
                  <c:v>5.9063888534679469E-2</c:v>
                </c:pt>
                <c:pt idx="6">
                  <c:v>1.4354334212957254E-2</c:v>
                </c:pt>
                <c:pt idx="7">
                  <c:v>7.0764193711774634E-3</c:v>
                </c:pt>
                <c:pt idx="8">
                  <c:v>3.488542928837041E-3</c:v>
                </c:pt>
                <c:pt idx="9">
                  <c:v>1.7197866785436057E-3</c:v>
                </c:pt>
                <c:pt idx="10">
                  <c:v>8.478227959436436E-4</c:v>
                </c:pt>
                <c:pt idx="11">
                  <c:v>4.1796084496387246E-4</c:v>
                </c:pt>
                <c:pt idx="12">
                  <c:v>2.0604691069727515E-4</c:v>
                </c:pt>
                <c:pt idx="13">
                  <c:v>1.015772886849262E-4</c:v>
                </c:pt>
                <c:pt idx="14">
                  <c:v>5.0075711116775637E-5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k_opm_fol!$R$3:$R$3</c:f>
              <c:strCache>
                <c:ptCount val="1"/>
                <c:pt idx="0">
                  <c:v>HS2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k_opm_fol!$R$4:$R$19</c:f>
              <c:numCache>
                <c:formatCode>0.00</c:formatCode>
                <c:ptCount val="16"/>
                <c:pt idx="0">
                  <c:v>1</c:v>
                </c:pt>
                <c:pt idx="1">
                  <c:v>0.83031741317906138</c:v>
                </c:pt>
                <c:pt idx="2">
                  <c:v>0.62821798400656215</c:v>
                </c:pt>
                <c:pt idx="3">
                  <c:v>0.49792685180231949</c:v>
                </c:pt>
                <c:pt idx="4">
                  <c:v>0.39465783542926913</c:v>
                </c:pt>
                <c:pt idx="5">
                  <c:v>0.15575480706571607</c:v>
                </c:pt>
                <c:pt idx="6">
                  <c:v>6.1469855014258952E-2</c:v>
                </c:pt>
                <c:pt idx="7">
                  <c:v>3.8616468394233404E-2</c:v>
                </c:pt>
                <c:pt idx="8">
                  <c:v>2.4259559924078435E-2</c:v>
                </c:pt>
                <c:pt idx="9">
                  <c:v>1.5240291828390944E-2</c:v>
                </c:pt>
                <c:pt idx="10">
                  <c:v>9.5742254081034421E-3</c:v>
                </c:pt>
                <c:pt idx="11">
                  <c:v>6.0147005843031497E-3</c:v>
                </c:pt>
                <c:pt idx="12">
                  <c:v>3.778543075474016E-3</c:v>
                </c:pt>
                <c:pt idx="13">
                  <c:v>2.3737487133562397E-3</c:v>
                </c:pt>
                <c:pt idx="14">
                  <c:v>1.4912316312428277E-3</c:v>
                </c:pt>
                <c:pt idx="15">
                  <c:v>9.3681852906618633E-4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k_opm_fol!$S$3:$S$3</c:f>
              <c:strCache>
                <c:ptCount val="1"/>
                <c:pt idx="0">
                  <c:v>Stape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k_opm_fol!$S$4:$S$19</c:f>
              <c:numCache>
                <c:formatCode>0.00</c:formatCode>
                <c:ptCount val="16"/>
                <c:pt idx="0">
                  <c:v>1</c:v>
                </c:pt>
                <c:pt idx="1">
                  <c:v>0.86588774805920499</c:v>
                </c:pt>
                <c:pt idx="2">
                  <c:v>0.69767632607103103</c:v>
                </c:pt>
                <c:pt idx="3">
                  <c:v>0.58274825237398964</c:v>
                </c:pt>
                <c:pt idx="4">
                  <c:v>0.48675225595997168</c:v>
                </c:pt>
                <c:pt idx="5">
                  <c:v>0.23692775868212176</c:v>
                </c:pt>
                <c:pt idx="6">
                  <c:v>0.11532512103806251</c:v>
                </c:pt>
                <c:pt idx="7">
                  <c:v>8.0459606749532439E-2</c:v>
                </c:pt>
                <c:pt idx="8">
                  <c:v>5.6134762834133725E-2</c:v>
                </c:pt>
                <c:pt idx="9">
                  <c:v>3.916389509898708E-2</c:v>
                </c:pt>
                <c:pt idx="10">
                  <c:v>2.7323722447292559E-2</c:v>
                </c:pt>
                <c:pt idx="11">
                  <c:v>1.9063114291611637E-2</c:v>
                </c:pt>
                <c:pt idx="12">
                  <c:v>1.3299883542443767E-2</c:v>
                </c:pt>
                <c:pt idx="13">
                  <c:v>9.2790138870647437E-3</c:v>
                </c:pt>
                <c:pt idx="14">
                  <c:v>6.4737483182894049E-3</c:v>
                </c:pt>
                <c:pt idx="15">
                  <c:v>4.5165809426126703E-3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k_opm_fol!$T$3:$T$3</c:f>
              <c:strCache>
                <c:ptCount val="1"/>
                <c:pt idx="0">
                  <c:v>Freier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star"/>
            <c:size val="6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xVal>
            <c:numRef>
              <c:f>k_opm_fol!$O$4:$O$19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200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</c:numCache>
            </c:numRef>
          </c:xVal>
          <c:yVal>
            <c:numRef>
              <c:f>k_opm_fol!$T$4:$T$19</c:f>
              <c:numCache>
                <c:formatCode>0.00</c:formatCode>
                <c:ptCount val="16"/>
                <c:pt idx="0">
                  <c:v>1</c:v>
                </c:pt>
                <c:pt idx="1">
                  <c:v>0.44932896411722156</c:v>
                </c:pt>
                <c:pt idx="2">
                  <c:v>0.1353352832366127</c:v>
                </c:pt>
                <c:pt idx="3">
                  <c:v>4.9787068367863944E-2</c:v>
                </c:pt>
                <c:pt idx="4">
                  <c:v>1.8315638888734179E-2</c:v>
                </c:pt>
                <c:pt idx="5">
                  <c:v>3.3546262790251185E-4</c:v>
                </c:pt>
                <c:pt idx="6">
                  <c:v>6.1442123533282098E-6</c:v>
                </c:pt>
                <c:pt idx="7">
                  <c:v>8.3152871910356788E-7</c:v>
                </c:pt>
                <c:pt idx="8">
                  <c:v>1.1253517471925912E-7</c:v>
                </c:pt>
                <c:pt idx="9">
                  <c:v>1.5229979744712629E-8</c:v>
                </c:pt>
                <c:pt idx="10">
                  <c:v>2.0611536224385579E-9</c:v>
                </c:pt>
                <c:pt idx="11">
                  <c:v>2.7894680928689246E-10</c:v>
                </c:pt>
                <c:pt idx="12">
                  <c:v>3.7751345442790977E-11</c:v>
                </c:pt>
                <c:pt idx="13">
                  <c:v>5.1090890280633251E-12</c:v>
                </c:pt>
                <c:pt idx="14">
                  <c:v>6.914400106940203E-13</c:v>
                </c:pt>
                <c:pt idx="15">
                  <c:v>9.3576229688401748E-14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392768"/>
        <c:axId val="273393344"/>
      </c:scatterChart>
      <c:valAx>
        <c:axId val="273392768"/>
        <c:scaling>
          <c:orientation val="minMax"/>
          <c:max val="4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73393344"/>
        <c:crossesAt val="0"/>
        <c:crossBetween val="midCat"/>
      </c:valAx>
      <c:valAx>
        <c:axId val="273393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73392768"/>
        <c:crossesAt val="0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0208486439195104"/>
          <c:y val="0.28125109361329831"/>
          <c:w val="0.95416841644794403"/>
          <c:h val="0.6979192184310294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chart" Target="../charts/chart4.xml"/><Relationship Id="rId1" Type="http://schemas.openxmlformats.org/officeDocument/2006/relationships/image" Target="../media/image5.emf"/><Relationship Id="rId4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6" Type="http://schemas.openxmlformats.org/officeDocument/2006/relationships/image" Target="../media/image10.emf"/><Relationship Id="rId5" Type="http://schemas.openxmlformats.org/officeDocument/2006/relationships/image" Target="../media/image9.emf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66675</xdr:rowOff>
    </xdr:from>
    <xdr:to>
      <xdr:col>0</xdr:col>
      <xdr:colOff>447675</xdr:colOff>
      <xdr:row>6</xdr:row>
      <xdr:rowOff>104775</xdr:rowOff>
    </xdr:to>
    <xdr:sp macro="" textlink="">
      <xdr:nvSpPr>
        <xdr:cNvPr id="1039" name="Text Box 1"/>
        <xdr:cNvSpPr txBox="1">
          <a:spLocks noChangeArrowheads="1"/>
        </xdr:cNvSpPr>
      </xdr:nvSpPr>
      <xdr:spPr bwMode="auto">
        <a:xfrm>
          <a:off x="371475" y="87630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6</xdr:col>
      <xdr:colOff>523875</xdr:colOff>
      <xdr:row>41</xdr:row>
      <xdr:rowOff>0</xdr:rowOff>
    </xdr:to>
    <xdr:pic>
      <xdr:nvPicPr>
        <xdr:cNvPr id="706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33475"/>
          <a:ext cx="3571875" cy="550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8</xdr:row>
      <xdr:rowOff>19050</xdr:rowOff>
    </xdr:from>
    <xdr:to>
      <xdr:col>11</xdr:col>
      <xdr:colOff>95250</xdr:colOff>
      <xdr:row>24</xdr:row>
      <xdr:rowOff>161925</xdr:rowOff>
    </xdr:to>
    <xdr:pic>
      <xdr:nvPicPr>
        <xdr:cNvPr id="379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314450"/>
          <a:ext cx="5553075" cy="2733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14</xdr:row>
      <xdr:rowOff>104775</xdr:rowOff>
    </xdr:from>
    <xdr:to>
      <xdr:col>12</xdr:col>
      <xdr:colOff>304800</xdr:colOff>
      <xdr:row>28</xdr:row>
      <xdr:rowOff>104775</xdr:rowOff>
    </xdr:to>
    <xdr:pic>
      <xdr:nvPicPr>
        <xdr:cNvPr id="399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371725"/>
          <a:ext cx="9439275" cy="2266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58</xdr:row>
      <xdr:rowOff>76200</xdr:rowOff>
    </xdr:from>
    <xdr:to>
      <xdr:col>7</xdr:col>
      <xdr:colOff>95250</xdr:colOff>
      <xdr:row>78</xdr:row>
      <xdr:rowOff>19050</xdr:rowOff>
    </xdr:to>
    <xdr:pic>
      <xdr:nvPicPr>
        <xdr:cNvPr id="194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477375"/>
          <a:ext cx="6467475" cy="3181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381000</xdr:colOff>
      <xdr:row>94</xdr:row>
      <xdr:rowOff>85725</xdr:rowOff>
    </xdr:from>
    <xdr:to>
      <xdr:col>8</xdr:col>
      <xdr:colOff>257175</xdr:colOff>
      <xdr:row>115</xdr:row>
      <xdr:rowOff>9525</xdr:rowOff>
    </xdr:to>
    <xdr:pic>
      <xdr:nvPicPr>
        <xdr:cNvPr id="1948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5316200"/>
          <a:ext cx="7067550" cy="3324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29</xdr:row>
      <xdr:rowOff>95250</xdr:rowOff>
    </xdr:from>
    <xdr:to>
      <xdr:col>10</xdr:col>
      <xdr:colOff>590550</xdr:colOff>
      <xdr:row>50</xdr:row>
      <xdr:rowOff>19050</xdr:rowOff>
    </xdr:to>
    <xdr:pic>
      <xdr:nvPicPr>
        <xdr:cNvPr id="225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4791075"/>
          <a:ext cx="7067550" cy="3324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38</xdr:row>
      <xdr:rowOff>57150</xdr:rowOff>
    </xdr:from>
    <xdr:to>
      <xdr:col>3</xdr:col>
      <xdr:colOff>600075</xdr:colOff>
      <xdr:row>39</xdr:row>
      <xdr:rowOff>152400</xdr:rowOff>
    </xdr:to>
    <xdr:pic>
      <xdr:nvPicPr>
        <xdr:cNvPr id="2870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6210300"/>
          <a:ext cx="2124075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219075</xdr:colOff>
      <xdr:row>3</xdr:row>
      <xdr:rowOff>9525</xdr:rowOff>
    </xdr:from>
    <xdr:to>
      <xdr:col>6</xdr:col>
      <xdr:colOff>171450</xdr:colOff>
      <xdr:row>22</xdr:row>
      <xdr:rowOff>142875</xdr:rowOff>
    </xdr:to>
    <xdr:pic>
      <xdr:nvPicPr>
        <xdr:cNvPr id="287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95300"/>
          <a:ext cx="4524375" cy="3209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</xdr:row>
      <xdr:rowOff>152400</xdr:rowOff>
    </xdr:from>
    <xdr:to>
      <xdr:col>21</xdr:col>
      <xdr:colOff>371475</xdr:colOff>
      <xdr:row>26</xdr:row>
      <xdr:rowOff>47625</xdr:rowOff>
    </xdr:to>
    <xdr:graphicFrame macro="">
      <xdr:nvGraphicFramePr>
        <xdr:cNvPr id="410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</xdr:colOff>
      <xdr:row>42</xdr:row>
      <xdr:rowOff>0</xdr:rowOff>
    </xdr:from>
    <xdr:to>
      <xdr:col>27</xdr:col>
      <xdr:colOff>533400</xdr:colOff>
      <xdr:row>65</xdr:row>
      <xdr:rowOff>66675</xdr:rowOff>
    </xdr:to>
    <xdr:graphicFrame macro="">
      <xdr:nvGraphicFramePr>
        <xdr:cNvPr id="410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67</xdr:row>
      <xdr:rowOff>0</xdr:rowOff>
    </xdr:from>
    <xdr:to>
      <xdr:col>27</xdr:col>
      <xdr:colOff>533400</xdr:colOff>
      <xdr:row>90</xdr:row>
      <xdr:rowOff>76200</xdr:rowOff>
    </xdr:to>
    <xdr:graphicFrame macro="">
      <xdr:nvGraphicFramePr>
        <xdr:cNvPr id="410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152400</xdr:rowOff>
    </xdr:from>
    <xdr:to>
      <xdr:col>7</xdr:col>
      <xdr:colOff>904875</xdr:colOff>
      <xdr:row>42</xdr:row>
      <xdr:rowOff>57150</xdr:rowOff>
    </xdr:to>
    <xdr:pic>
      <xdr:nvPicPr>
        <xdr:cNvPr id="297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6391275" cy="411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104775</xdr:colOff>
      <xdr:row>44</xdr:row>
      <xdr:rowOff>38100</xdr:rowOff>
    </xdr:from>
    <xdr:to>
      <xdr:col>10</xdr:col>
      <xdr:colOff>638175</xdr:colOff>
      <xdr:row>58</xdr:row>
      <xdr:rowOff>104775</xdr:rowOff>
    </xdr:to>
    <xdr:graphicFrame macro="">
      <xdr:nvGraphicFramePr>
        <xdr:cNvPr id="297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69</xdr:row>
      <xdr:rowOff>47625</xdr:rowOff>
    </xdr:from>
    <xdr:to>
      <xdr:col>8</xdr:col>
      <xdr:colOff>276225</xdr:colOff>
      <xdr:row>85</xdr:row>
      <xdr:rowOff>114300</xdr:rowOff>
    </xdr:to>
    <xdr:pic>
      <xdr:nvPicPr>
        <xdr:cNvPr id="2975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1220450"/>
          <a:ext cx="6429375" cy="2657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428625</xdr:colOff>
      <xdr:row>88</xdr:row>
      <xdr:rowOff>161925</xdr:rowOff>
    </xdr:from>
    <xdr:to>
      <xdr:col>9</xdr:col>
      <xdr:colOff>352425</xdr:colOff>
      <xdr:row>105</xdr:row>
      <xdr:rowOff>57150</xdr:rowOff>
    </xdr:to>
    <xdr:graphicFrame macro="">
      <xdr:nvGraphicFramePr>
        <xdr:cNvPr id="2975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8</xdr:row>
      <xdr:rowOff>19050</xdr:rowOff>
    </xdr:from>
    <xdr:to>
      <xdr:col>18</xdr:col>
      <xdr:colOff>438150</xdr:colOff>
      <xdr:row>31</xdr:row>
      <xdr:rowOff>76200</xdr:rowOff>
    </xdr:to>
    <xdr:graphicFrame macro="">
      <xdr:nvGraphicFramePr>
        <xdr:cNvPr id="419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20</xdr:row>
      <xdr:rowOff>66675</xdr:rowOff>
    </xdr:from>
    <xdr:to>
      <xdr:col>4</xdr:col>
      <xdr:colOff>552450</xdr:colOff>
      <xdr:row>34</xdr:row>
      <xdr:rowOff>104775</xdr:rowOff>
    </xdr:to>
    <xdr:graphicFrame macro="">
      <xdr:nvGraphicFramePr>
        <xdr:cNvPr id="338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95250</xdr:rowOff>
    </xdr:from>
    <xdr:to>
      <xdr:col>7</xdr:col>
      <xdr:colOff>590550</xdr:colOff>
      <xdr:row>14</xdr:row>
      <xdr:rowOff>114300</xdr:rowOff>
    </xdr:to>
    <xdr:pic>
      <xdr:nvPicPr>
        <xdr:cNvPr id="369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"/>
          <a:ext cx="4248150" cy="1962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142875</xdr:colOff>
      <xdr:row>31</xdr:row>
      <xdr:rowOff>142875</xdr:rowOff>
    </xdr:from>
    <xdr:to>
      <xdr:col>6</xdr:col>
      <xdr:colOff>257175</xdr:colOff>
      <xdr:row>35</xdr:row>
      <xdr:rowOff>152400</xdr:rowOff>
    </xdr:to>
    <xdr:pic>
      <xdr:nvPicPr>
        <xdr:cNvPr id="369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162550"/>
          <a:ext cx="3771900" cy="657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22</xdr:col>
      <xdr:colOff>76200</xdr:colOff>
      <xdr:row>3</xdr:row>
      <xdr:rowOff>85725</xdr:rowOff>
    </xdr:from>
    <xdr:to>
      <xdr:col>28</xdr:col>
      <xdr:colOff>76200</xdr:colOff>
      <xdr:row>20</xdr:row>
      <xdr:rowOff>76200</xdr:rowOff>
    </xdr:to>
    <xdr:graphicFrame macro="">
      <xdr:nvGraphicFramePr>
        <xdr:cNvPr id="369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19050</xdr:colOff>
      <xdr:row>20</xdr:row>
      <xdr:rowOff>76200</xdr:rowOff>
    </xdr:from>
    <xdr:to>
      <xdr:col>28</xdr:col>
      <xdr:colOff>19050</xdr:colOff>
      <xdr:row>37</xdr:row>
      <xdr:rowOff>66675</xdr:rowOff>
    </xdr:to>
    <xdr:graphicFrame macro="">
      <xdr:nvGraphicFramePr>
        <xdr:cNvPr id="369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51</xdr:row>
      <xdr:rowOff>0</xdr:rowOff>
    </xdr:from>
    <xdr:to>
      <xdr:col>5</xdr:col>
      <xdr:colOff>371475</xdr:colOff>
      <xdr:row>66</xdr:row>
      <xdr:rowOff>123825</xdr:rowOff>
    </xdr:to>
    <xdr:pic>
      <xdr:nvPicPr>
        <xdr:cNvPr id="3695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258175"/>
          <a:ext cx="2809875" cy="2552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0</xdr:colOff>
      <xdr:row>68</xdr:row>
      <xdr:rowOff>0</xdr:rowOff>
    </xdr:from>
    <xdr:to>
      <xdr:col>9</xdr:col>
      <xdr:colOff>171450</xdr:colOff>
      <xdr:row>88</xdr:row>
      <xdr:rowOff>57150</xdr:rowOff>
    </xdr:to>
    <xdr:pic>
      <xdr:nvPicPr>
        <xdr:cNvPr id="3695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010900"/>
          <a:ext cx="5048250" cy="3295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9" workbookViewId="0">
      <selection activeCell="A34" sqref="A34"/>
    </sheetView>
  </sheetViews>
  <sheetFormatPr baseColWidth="10" defaultColWidth="11.42578125" defaultRowHeight="12.75" x14ac:dyDescent="0.2"/>
  <sheetData>
    <row r="1" spans="1:5" x14ac:dyDescent="0.2">
      <c r="A1" s="1" t="s">
        <v>614</v>
      </c>
      <c r="B1" s="1" t="s">
        <v>615</v>
      </c>
      <c r="C1" s="1" t="s">
        <v>616</v>
      </c>
      <c r="D1" s="1" t="s">
        <v>617</v>
      </c>
      <c r="E1" s="1" t="s">
        <v>618</v>
      </c>
    </row>
    <row r="2" spans="1:5" x14ac:dyDescent="0.2">
      <c r="A2" s="2" t="s">
        <v>619</v>
      </c>
      <c r="B2" s="3" t="s">
        <v>620</v>
      </c>
      <c r="C2" s="3" t="s">
        <v>621</v>
      </c>
    </row>
    <row r="3" spans="1:5" x14ac:dyDescent="0.2">
      <c r="A3" s="2"/>
    </row>
    <row r="4" spans="1:5" x14ac:dyDescent="0.2">
      <c r="A4" s="2" t="s">
        <v>622</v>
      </c>
      <c r="B4" s="3" t="s">
        <v>623</v>
      </c>
      <c r="C4" s="3" t="s">
        <v>624</v>
      </c>
    </row>
    <row r="5" spans="1:5" x14ac:dyDescent="0.2">
      <c r="A5" s="2" t="s">
        <v>625</v>
      </c>
      <c r="B5" s="3" t="s">
        <v>623</v>
      </c>
      <c r="C5" s="3" t="s">
        <v>626</v>
      </c>
    </row>
    <row r="6" spans="1:5" x14ac:dyDescent="0.2">
      <c r="A6" s="2" t="s">
        <v>627</v>
      </c>
      <c r="B6" s="3" t="s">
        <v>628</v>
      </c>
      <c r="C6" s="3" t="s">
        <v>629</v>
      </c>
    </row>
    <row r="7" spans="1:5" x14ac:dyDescent="0.2">
      <c r="A7" s="2" t="s">
        <v>630</v>
      </c>
      <c r="B7" s="3" t="s">
        <v>623</v>
      </c>
      <c r="C7" s="3" t="s">
        <v>631</v>
      </c>
    </row>
    <row r="8" spans="1:5" x14ac:dyDescent="0.2">
      <c r="A8" s="2" t="s">
        <v>632</v>
      </c>
      <c r="B8" s="3" t="s">
        <v>623</v>
      </c>
      <c r="C8" s="4" t="s">
        <v>633</v>
      </c>
    </row>
    <row r="9" spans="1:5" x14ac:dyDescent="0.2">
      <c r="A9" s="2" t="s">
        <v>634</v>
      </c>
      <c r="B9" s="3" t="s">
        <v>635</v>
      </c>
      <c r="C9" s="4" t="s">
        <v>636</v>
      </c>
    </row>
    <row r="10" spans="1:5" x14ac:dyDescent="0.2">
      <c r="A10" s="2" t="s">
        <v>637</v>
      </c>
      <c r="B10" s="3" t="s">
        <v>635</v>
      </c>
      <c r="C10" s="4" t="s">
        <v>638</v>
      </c>
    </row>
    <row r="11" spans="1:5" x14ac:dyDescent="0.2">
      <c r="A11" s="2" t="s">
        <v>639</v>
      </c>
      <c r="B11" s="3" t="s">
        <v>640</v>
      </c>
      <c r="C11" s="3" t="s">
        <v>641</v>
      </c>
    </row>
    <row r="12" spans="1:5" x14ac:dyDescent="0.2">
      <c r="A12" s="2" t="s">
        <v>642</v>
      </c>
      <c r="B12" s="3" t="s">
        <v>640</v>
      </c>
      <c r="C12" s="3" t="s">
        <v>643</v>
      </c>
    </row>
    <row r="13" spans="1:5" x14ac:dyDescent="0.2">
      <c r="A13" s="2" t="s">
        <v>644</v>
      </c>
      <c r="B13" s="3" t="s">
        <v>640</v>
      </c>
      <c r="C13" s="3" t="s">
        <v>645</v>
      </c>
    </row>
    <row r="14" spans="1:5" x14ac:dyDescent="0.2">
      <c r="A14" s="2" t="s">
        <v>646</v>
      </c>
      <c r="B14" s="3" t="s">
        <v>647</v>
      </c>
      <c r="C14" s="4" t="s">
        <v>648</v>
      </c>
    </row>
    <row r="15" spans="1:5" x14ac:dyDescent="0.2">
      <c r="A15" s="2" t="s">
        <v>649</v>
      </c>
      <c r="C15" s="3" t="s">
        <v>650</v>
      </c>
    </row>
    <row r="16" spans="1:5" x14ac:dyDescent="0.2">
      <c r="A16" s="2" t="s">
        <v>651</v>
      </c>
      <c r="C16" s="3" t="s">
        <v>652</v>
      </c>
    </row>
    <row r="17" spans="1:7" x14ac:dyDescent="0.2">
      <c r="A17" s="2" t="s">
        <v>653</v>
      </c>
      <c r="C17" s="3" t="s">
        <v>654</v>
      </c>
    </row>
    <row r="18" spans="1:7" x14ac:dyDescent="0.2">
      <c r="A18" s="2" t="s">
        <v>695</v>
      </c>
      <c r="C18" s="3" t="s">
        <v>696</v>
      </c>
    </row>
    <row r="19" spans="1:7" x14ac:dyDescent="0.2">
      <c r="A19" s="2" t="s">
        <v>697</v>
      </c>
      <c r="C19" s="3" t="s">
        <v>698</v>
      </c>
    </row>
    <row r="20" spans="1:7" x14ac:dyDescent="0.2">
      <c r="A20" s="2" t="s">
        <v>699</v>
      </c>
      <c r="C20" s="4" t="s">
        <v>700</v>
      </c>
    </row>
    <row r="21" spans="1:7" x14ac:dyDescent="0.2">
      <c r="A21" s="2" t="s">
        <v>701</v>
      </c>
    </row>
    <row r="22" spans="1:7" x14ac:dyDescent="0.2">
      <c r="A22" s="2" t="s">
        <v>702</v>
      </c>
      <c r="B22" s="3" t="s">
        <v>623</v>
      </c>
      <c r="C22" s="3" t="s">
        <v>703</v>
      </c>
    </row>
    <row r="23" spans="1:7" x14ac:dyDescent="0.2">
      <c r="A23" s="2" t="s">
        <v>704</v>
      </c>
      <c r="C23" s="3" t="s">
        <v>705</v>
      </c>
      <c r="D23" s="3"/>
      <c r="E23" s="3"/>
      <c r="F23" s="3"/>
      <c r="G23" s="3"/>
    </row>
    <row r="24" spans="1:7" x14ac:dyDescent="0.2">
      <c r="A24" s="2" t="s">
        <v>706</v>
      </c>
      <c r="B24" s="3" t="s">
        <v>707</v>
      </c>
      <c r="C24" s="3" t="s">
        <v>708</v>
      </c>
    </row>
    <row r="25" spans="1:7" x14ac:dyDescent="0.2">
      <c r="A25" s="2" t="s">
        <v>709</v>
      </c>
      <c r="B25" s="3" t="s">
        <v>710</v>
      </c>
      <c r="C25" s="3" t="s">
        <v>711</v>
      </c>
    </row>
    <row r="26" spans="1:7" x14ac:dyDescent="0.2">
      <c r="A26" s="2" t="s">
        <v>712</v>
      </c>
      <c r="B26" s="3" t="s">
        <v>713</v>
      </c>
      <c r="C26" s="3" t="s">
        <v>714</v>
      </c>
    </row>
    <row r="27" spans="1:7" x14ac:dyDescent="0.2">
      <c r="A27" s="4" t="s">
        <v>715</v>
      </c>
    </row>
    <row r="28" spans="1:7" x14ac:dyDescent="0.2">
      <c r="A28" s="4" t="s">
        <v>716</v>
      </c>
    </row>
    <row r="29" spans="1:7" x14ac:dyDescent="0.2">
      <c r="A29" s="2" t="s">
        <v>717</v>
      </c>
      <c r="C29" s="3" t="s">
        <v>718</v>
      </c>
    </row>
    <row r="30" spans="1:7" x14ac:dyDescent="0.2">
      <c r="A30" s="3" t="s">
        <v>719</v>
      </c>
    </row>
    <row r="31" spans="1:7" x14ac:dyDescent="0.2">
      <c r="A31" s="3" t="s">
        <v>720</v>
      </c>
    </row>
    <row r="32" spans="1:7" x14ac:dyDescent="0.2">
      <c r="A32" s="2" t="s">
        <v>721</v>
      </c>
      <c r="B32" s="3" t="s">
        <v>722</v>
      </c>
      <c r="C32" s="3" t="s">
        <v>723</v>
      </c>
    </row>
    <row r="33" spans="1:3" x14ac:dyDescent="0.2">
      <c r="A33" s="2" t="s">
        <v>724</v>
      </c>
      <c r="C33" s="3" t="s">
        <v>725</v>
      </c>
    </row>
    <row r="34" spans="1:3" x14ac:dyDescent="0.2">
      <c r="A34" s="2" t="s">
        <v>726</v>
      </c>
      <c r="C34" s="4" t="s">
        <v>727</v>
      </c>
    </row>
    <row r="35" spans="1:3" x14ac:dyDescent="0.2">
      <c r="A35" s="2" t="s">
        <v>728</v>
      </c>
      <c r="C35" s="3" t="s">
        <v>729</v>
      </c>
    </row>
    <row r="36" spans="1:3" x14ac:dyDescent="0.2">
      <c r="A36" s="2" t="s">
        <v>730</v>
      </c>
      <c r="B36" s="3" t="s">
        <v>731</v>
      </c>
      <c r="C36" s="3" t="s">
        <v>732</v>
      </c>
    </row>
    <row r="37" spans="1:3" x14ac:dyDescent="0.2">
      <c r="A37" s="4" t="s">
        <v>733</v>
      </c>
    </row>
    <row r="38" spans="1:3" ht="409.5" x14ac:dyDescent="0.2">
      <c r="A38" s="2" t="s">
        <v>734</v>
      </c>
      <c r="B38" s="3" t="s">
        <v>635</v>
      </c>
      <c r="C38" s="5" t="s">
        <v>735</v>
      </c>
    </row>
    <row r="39" spans="1:3" x14ac:dyDescent="0.2">
      <c r="A39" s="2" t="s">
        <v>736</v>
      </c>
      <c r="B39" s="3" t="s">
        <v>737</v>
      </c>
      <c r="C39" s="3" t="s">
        <v>738</v>
      </c>
    </row>
    <row r="40" spans="1:3" x14ac:dyDescent="0.2">
      <c r="A40" s="2" t="s">
        <v>739</v>
      </c>
      <c r="B40" s="3" t="s">
        <v>737</v>
      </c>
      <c r="C40" s="3" t="s">
        <v>740</v>
      </c>
    </row>
    <row r="41" spans="1:3" x14ac:dyDescent="0.2">
      <c r="A41" s="2" t="s">
        <v>741</v>
      </c>
      <c r="B41" s="3" t="s">
        <v>737</v>
      </c>
      <c r="C41" s="3" t="s">
        <v>742</v>
      </c>
    </row>
    <row r="42" spans="1:3" x14ac:dyDescent="0.2">
      <c r="A42" s="3" t="s">
        <v>743</v>
      </c>
      <c r="B42" s="3" t="s">
        <v>737</v>
      </c>
      <c r="C42" s="3" t="s">
        <v>744</v>
      </c>
    </row>
    <row r="43" spans="1:3" x14ac:dyDescent="0.2">
      <c r="A43" s="4" t="s">
        <v>745</v>
      </c>
      <c r="C43" s="3" t="s">
        <v>746</v>
      </c>
    </row>
    <row r="44" spans="1:3" x14ac:dyDescent="0.2">
      <c r="A44" s="4" t="s">
        <v>747</v>
      </c>
    </row>
    <row r="45" spans="1:3" x14ac:dyDescent="0.2">
      <c r="A45" s="4" t="s">
        <v>748</v>
      </c>
    </row>
    <row r="46" spans="1:3" x14ac:dyDescent="0.2">
      <c r="A46" s="4" t="s">
        <v>749</v>
      </c>
    </row>
    <row r="47" spans="1:3" x14ac:dyDescent="0.2">
      <c r="A47" s="4" t="s">
        <v>750</v>
      </c>
    </row>
    <row r="50" spans="1:2" x14ac:dyDescent="0.2">
      <c r="A50" s="3" t="s">
        <v>751</v>
      </c>
    </row>
    <row r="51" spans="1:2" x14ac:dyDescent="0.2">
      <c r="B51" s="3" t="s">
        <v>752</v>
      </c>
    </row>
    <row r="52" spans="1:2" x14ac:dyDescent="0.2">
      <c r="B52" s="3" t="s">
        <v>753</v>
      </c>
    </row>
    <row r="53" spans="1:2" x14ac:dyDescent="0.2">
      <c r="B53" s="3" t="s">
        <v>754</v>
      </c>
    </row>
    <row r="54" spans="1:2" x14ac:dyDescent="0.2">
      <c r="A54" s="3" t="s">
        <v>755</v>
      </c>
      <c r="B54" s="3" t="s">
        <v>756</v>
      </c>
    </row>
    <row r="56" spans="1:2" x14ac:dyDescent="0.2">
      <c r="A56" s="1" t="s">
        <v>757</v>
      </c>
    </row>
    <row r="57" spans="1:2" x14ac:dyDescent="0.2">
      <c r="A57" s="4" t="s">
        <v>758</v>
      </c>
    </row>
  </sheetData>
  <sheetProtection selectLockedCells="1" selectUnlockedCells="1"/>
  <phoneticPr fontId="0" type="noConversion"/>
  <hyperlinks>
    <hyperlink ref="A2" location="max_age!A1" display="max_age"/>
    <hyperlink ref="A4" location="stol!A1" display="stol"/>
    <hyperlink ref="A5" location="pfext!A1" display="pfext"/>
    <hyperlink ref="A6" location="sigman!A1" display="sigman"/>
    <hyperlink ref="A7" location="respcoeff!A1" display="respcoeff"/>
    <hyperlink ref="A8" location="prg!A1" display="prg"/>
    <hyperlink ref="A9" location="prms!A1" display="prms"/>
    <hyperlink ref="A10" location="prmr!A1" display="prmr"/>
    <hyperlink ref="A11" location="psf!A1" display="psf"/>
    <hyperlink ref="A12" location="pss!A1" display="pss"/>
    <hyperlink ref="A13" location="psr!A1" display="psr"/>
    <hyperlink ref="A14" location="pncr!A1" display="pncr/pcnr"/>
    <hyperlink ref="A15" location="Ncon_fol!A1" display="Ncon_fol"/>
    <hyperlink ref="A16" location="Ncon_frt!A1" display="Ncon_frt"/>
    <hyperlink ref="A17" location="Ncon_crt!A1" display="Ncon_crt"/>
    <hyperlink ref="A18" location="Ncon_tbc!A1" display="Ncon_tbc"/>
    <hyperlink ref="A19" location="Ncon_stem!A1" display="Ncon_stem"/>
    <hyperlink ref="A20" location="reallo_fol!A1" display="reallo_fol"/>
    <hyperlink ref="A21" location="reallo_frt!A1" display="reallo_frt"/>
    <hyperlink ref="A22" location="alphac!A1" display="alphac"/>
    <hyperlink ref="A23" location="cr_frac!A1" display="cr_frac"/>
    <hyperlink ref="A24" location="prhos!A1" display="prhos"/>
    <hyperlink ref="A25" location="pnus!A1" display="pnus"/>
    <hyperlink ref="A26" location="pha!A1" display="pha"/>
    <hyperlink ref="A29" location="crown_a!A1" display="crown_a"/>
    <hyperlink ref="A32" location="psla_min!A1" display="psla_min"/>
    <hyperlink ref="A33" location="psla_a!A1" display="psla_a"/>
    <hyperlink ref="A34" location="pb!A1" display="pb"/>
    <hyperlink ref="A35" location="end_bb!A1" display="end_bb"/>
    <hyperlink ref="A36" location="ceppot_spec!A1" display="ceppot_spec"/>
    <hyperlink ref="A38" location="k_opm_fol!A1" display="k_opm_fol"/>
    <hyperlink ref="A39" location="k_opm_frt!A1" display="k_opm_frt"/>
    <hyperlink ref="A40" location="k_opm_stem!A1" display="k_opm_stem"/>
    <hyperlink ref="A41" location="k_opm_tbc!A1" display="k_opm_tbc"/>
  </hyperlinks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C16" sqref="C16"/>
    </sheetView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947</v>
      </c>
    </row>
    <row r="2" spans="1:2" x14ac:dyDescent="0.2">
      <c r="A2" s="3" t="s">
        <v>977</v>
      </c>
      <c r="B2" s="3" t="s">
        <v>1039</v>
      </c>
    </row>
    <row r="3" spans="1:2" x14ac:dyDescent="0.2">
      <c r="A3" s="3" t="s">
        <v>614</v>
      </c>
      <c r="B3" s="3" t="s">
        <v>1040</v>
      </c>
    </row>
    <row r="4" spans="1:2" x14ac:dyDescent="0.2">
      <c r="A4" s="3" t="s">
        <v>954</v>
      </c>
      <c r="B4" s="3">
        <v>0.25</v>
      </c>
    </row>
    <row r="5" spans="1:2" x14ac:dyDescent="0.2">
      <c r="A5" s="3" t="s">
        <v>955</v>
      </c>
      <c r="B5" s="3" t="s">
        <v>1041</v>
      </c>
    </row>
    <row r="7" spans="1:2" x14ac:dyDescent="0.2">
      <c r="A7" s="3" t="s">
        <v>759</v>
      </c>
      <c r="B7" s="3" t="s">
        <v>980</v>
      </c>
    </row>
    <row r="8" spans="1:2" x14ac:dyDescent="0.2">
      <c r="A8" s="3" t="s">
        <v>614</v>
      </c>
      <c r="B8" s="3" t="s">
        <v>1042</v>
      </c>
    </row>
    <row r="9" spans="1:2" x14ac:dyDescent="0.2">
      <c r="A9" s="3" t="s">
        <v>954</v>
      </c>
      <c r="B9" s="3">
        <v>0.25</v>
      </c>
    </row>
    <row r="10" spans="1:2" x14ac:dyDescent="0.2">
      <c r="A10" s="3" t="s">
        <v>955</v>
      </c>
      <c r="B10" s="3" t="s">
        <v>973</v>
      </c>
    </row>
    <row r="12" spans="1:2" x14ac:dyDescent="0.2">
      <c r="A12" s="1" t="s">
        <v>759</v>
      </c>
      <c r="B12" s="3" t="s">
        <v>1043</v>
      </c>
    </row>
    <row r="13" spans="1:2" x14ac:dyDescent="0.2">
      <c r="A13" s="1" t="s">
        <v>614</v>
      </c>
      <c r="B13" s="3" t="s">
        <v>1044</v>
      </c>
    </row>
    <row r="14" spans="1:2" x14ac:dyDescent="0.2">
      <c r="A14" s="1" t="s">
        <v>954</v>
      </c>
      <c r="B14" s="3">
        <v>0.25</v>
      </c>
    </row>
    <row r="15" spans="1:2" x14ac:dyDescent="0.2">
      <c r="A15" s="1" t="s">
        <v>955</v>
      </c>
      <c r="B15" s="3" t="s">
        <v>1045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980</v>
      </c>
    </row>
    <row r="2" spans="1:2" x14ac:dyDescent="0.2">
      <c r="A2" s="3" t="s">
        <v>614</v>
      </c>
      <c r="B2" s="3" t="s">
        <v>1046</v>
      </c>
    </row>
    <row r="3" spans="1:2" x14ac:dyDescent="0.2">
      <c r="A3" s="3" t="s">
        <v>954</v>
      </c>
      <c r="B3" s="3">
        <v>0.3</v>
      </c>
    </row>
    <row r="4" spans="1:2" x14ac:dyDescent="0.2">
      <c r="A4" s="3" t="s">
        <v>955</v>
      </c>
      <c r="B4" s="3" t="s">
        <v>973</v>
      </c>
    </row>
    <row r="5" spans="1:2" x14ac:dyDescent="0.2">
      <c r="A5" s="3" t="s">
        <v>977</v>
      </c>
      <c r="B5" s="3" t="s">
        <v>1047</v>
      </c>
    </row>
    <row r="7" spans="1:2" x14ac:dyDescent="0.2">
      <c r="B7" s="3" t="s">
        <v>1048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C26" sqref="C26"/>
    </sheetView>
  </sheetViews>
  <sheetFormatPr baseColWidth="10" defaultColWidth="11.42578125" defaultRowHeight="12.75" x14ac:dyDescent="0.2"/>
  <cols>
    <col min="1" max="1" width="11.42578125" customWidth="1"/>
    <col min="2" max="2" width="21.28515625" style="3" customWidth="1"/>
  </cols>
  <sheetData>
    <row r="1" spans="1:2" x14ac:dyDescent="0.2">
      <c r="A1" s="1" t="s">
        <v>759</v>
      </c>
      <c r="B1" s="3" t="s">
        <v>1049</v>
      </c>
    </row>
    <row r="2" spans="1:2" x14ac:dyDescent="0.2">
      <c r="A2" s="1" t="s">
        <v>962</v>
      </c>
      <c r="B2" s="3" t="s">
        <v>778</v>
      </c>
    </row>
    <row r="3" spans="1:2" x14ac:dyDescent="0.2">
      <c r="A3" s="1" t="s">
        <v>614</v>
      </c>
      <c r="B3" s="3" t="s">
        <v>1050</v>
      </c>
    </row>
    <row r="4" spans="1:2" x14ac:dyDescent="0.2">
      <c r="A4" s="1" t="s">
        <v>954</v>
      </c>
      <c r="B4" s="3">
        <v>50</v>
      </c>
    </row>
    <row r="5" spans="1:2" x14ac:dyDescent="0.2">
      <c r="A5" s="1" t="s">
        <v>955</v>
      </c>
      <c r="B5" s="3" t="s">
        <v>1051</v>
      </c>
    </row>
    <row r="7" spans="1:2" x14ac:dyDescent="0.2">
      <c r="A7" s="1" t="s">
        <v>759</v>
      </c>
      <c r="B7" s="3" t="s">
        <v>1049</v>
      </c>
    </row>
    <row r="8" spans="1:2" x14ac:dyDescent="0.2">
      <c r="A8" s="1" t="s">
        <v>962</v>
      </c>
      <c r="B8" s="3" t="s">
        <v>778</v>
      </c>
    </row>
    <row r="9" spans="1:2" x14ac:dyDescent="0.2">
      <c r="A9" s="1" t="s">
        <v>614</v>
      </c>
      <c r="B9" s="3" t="s">
        <v>1052</v>
      </c>
    </row>
    <row r="10" spans="1:2" x14ac:dyDescent="0.2">
      <c r="A10" s="1" t="s">
        <v>954</v>
      </c>
      <c r="B10" s="3">
        <v>100</v>
      </c>
    </row>
    <row r="11" spans="1:2" x14ac:dyDescent="0.2">
      <c r="A11" s="1" t="s">
        <v>955</v>
      </c>
      <c r="B11" s="3" t="s">
        <v>1053</v>
      </c>
    </row>
    <row r="12" spans="1:2" x14ac:dyDescent="0.2">
      <c r="B12" s="3" t="s">
        <v>1054</v>
      </c>
    </row>
    <row r="15" spans="1:2" x14ac:dyDescent="0.2">
      <c r="A15" s="21" t="s">
        <v>759</v>
      </c>
      <c r="B15" s="3" t="s">
        <v>1055</v>
      </c>
    </row>
    <row r="16" spans="1:2" x14ac:dyDescent="0.2">
      <c r="A16" s="21" t="s">
        <v>962</v>
      </c>
      <c r="B16" s="3" t="s">
        <v>0</v>
      </c>
    </row>
    <row r="17" spans="1:5" x14ac:dyDescent="0.2">
      <c r="A17" s="21" t="s">
        <v>614</v>
      </c>
      <c r="B17" s="3" t="s">
        <v>1</v>
      </c>
    </row>
    <row r="18" spans="1:5" x14ac:dyDescent="0.2">
      <c r="A18" s="1"/>
    </row>
    <row r="19" spans="1:5" x14ac:dyDescent="0.2">
      <c r="A19" s="1"/>
      <c r="B19" s="3" t="s">
        <v>2</v>
      </c>
      <c r="C19" s="3" t="s">
        <v>3</v>
      </c>
      <c r="D19" s="3" t="s">
        <v>4</v>
      </c>
      <c r="E19" s="3" t="s">
        <v>5</v>
      </c>
    </row>
    <row r="20" spans="1:5" x14ac:dyDescent="0.2">
      <c r="A20" s="1"/>
      <c r="B20" s="3" t="s">
        <v>6</v>
      </c>
      <c r="C20" s="3">
        <v>10.32</v>
      </c>
      <c r="D20" s="3">
        <v>2.54</v>
      </c>
      <c r="E20" s="3">
        <v>95</v>
      </c>
    </row>
    <row r="21" spans="1:5" x14ac:dyDescent="0.2">
      <c r="A21" s="1"/>
      <c r="B21" s="22" t="s">
        <v>7</v>
      </c>
      <c r="C21" s="23">
        <v>4.24</v>
      </c>
      <c r="D21" s="3">
        <v>1.97</v>
      </c>
      <c r="E21" s="3">
        <v>12</v>
      </c>
    </row>
    <row r="22" spans="1:5" x14ac:dyDescent="0.2">
      <c r="A22" s="1"/>
      <c r="B22" s="23" t="s">
        <v>8</v>
      </c>
      <c r="C22" s="3">
        <v>2.37</v>
      </c>
      <c r="D22" s="3">
        <v>1.34</v>
      </c>
      <c r="E22" s="3">
        <v>23</v>
      </c>
    </row>
    <row r="23" spans="1:5" x14ac:dyDescent="0.2">
      <c r="A23" s="1"/>
      <c r="B23" s="24" t="s">
        <v>9</v>
      </c>
      <c r="C23" s="3">
        <v>0.8</v>
      </c>
      <c r="D23" s="3">
        <v>0.46</v>
      </c>
      <c r="E23" s="3">
        <v>60</v>
      </c>
    </row>
    <row r="24" spans="1:5" x14ac:dyDescent="0.2">
      <c r="A24" s="1"/>
    </row>
    <row r="25" spans="1:5" x14ac:dyDescent="0.2">
      <c r="B25" t="s">
        <v>356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C45"/>
  <sheetViews>
    <sheetView topLeftCell="A16" workbookViewId="0">
      <selection activeCell="A45" sqref="A45"/>
    </sheetView>
  </sheetViews>
  <sheetFormatPr baseColWidth="10" defaultColWidth="11.42578125" defaultRowHeight="12.75" x14ac:dyDescent="0.2"/>
  <sheetData>
    <row r="1" spans="1:3" x14ac:dyDescent="0.2">
      <c r="A1" s="3" t="s">
        <v>759</v>
      </c>
      <c r="B1" s="3" t="s">
        <v>10</v>
      </c>
      <c r="C1" s="3"/>
    </row>
    <row r="2" spans="1:3" x14ac:dyDescent="0.2">
      <c r="A2" s="3"/>
      <c r="B2" s="3"/>
      <c r="C2" s="3"/>
    </row>
    <row r="3" spans="1:3" x14ac:dyDescent="0.2">
      <c r="A3" s="3" t="s">
        <v>614</v>
      </c>
      <c r="B3" s="1" t="s">
        <v>11</v>
      </c>
      <c r="C3" s="3"/>
    </row>
    <row r="4" spans="1:3" x14ac:dyDescent="0.2">
      <c r="A4" s="3" t="s">
        <v>954</v>
      </c>
      <c r="B4" s="3">
        <v>2.7E-2</v>
      </c>
      <c r="C4" s="1">
        <f>B4*12</f>
        <v>0.32400000000000001</v>
      </c>
    </row>
    <row r="5" spans="1:3" x14ac:dyDescent="0.2">
      <c r="A5" s="3" t="s">
        <v>955</v>
      </c>
      <c r="B5" s="3" t="s">
        <v>12</v>
      </c>
      <c r="C5" s="3" t="s">
        <v>13</v>
      </c>
    </row>
    <row r="6" spans="1:3" x14ac:dyDescent="0.2">
      <c r="A6" s="3"/>
      <c r="B6" s="3"/>
      <c r="C6" s="3"/>
    </row>
    <row r="7" spans="1:3" x14ac:dyDescent="0.2">
      <c r="A7" s="3" t="s">
        <v>614</v>
      </c>
      <c r="B7" s="3" t="s">
        <v>14</v>
      </c>
      <c r="C7" s="3"/>
    </row>
    <row r="8" spans="1:3" x14ac:dyDescent="0.2">
      <c r="A8" s="3" t="s">
        <v>954</v>
      </c>
      <c r="B8" s="3">
        <v>1E-3</v>
      </c>
      <c r="C8" s="3">
        <f>B8*12</f>
        <v>1.2E-2</v>
      </c>
    </row>
    <row r="9" spans="1:3" x14ac:dyDescent="0.2">
      <c r="A9" s="3" t="s">
        <v>955</v>
      </c>
      <c r="B9" s="3" t="s">
        <v>12</v>
      </c>
      <c r="C9" s="3" t="s">
        <v>13</v>
      </c>
    </row>
    <row r="11" spans="1:3" x14ac:dyDescent="0.2">
      <c r="A11" s="1" t="s">
        <v>759</v>
      </c>
      <c r="B11" s="3" t="s">
        <v>15</v>
      </c>
    </row>
    <row r="12" spans="1:3" x14ac:dyDescent="0.2">
      <c r="A12" s="1" t="s">
        <v>977</v>
      </c>
      <c r="B12" s="1" t="s">
        <v>16</v>
      </c>
    </row>
    <row r="13" spans="1:3" x14ac:dyDescent="0.2">
      <c r="A13" s="1" t="s">
        <v>614</v>
      </c>
      <c r="B13" s="3" t="s">
        <v>17</v>
      </c>
    </row>
    <row r="14" spans="1:3" x14ac:dyDescent="0.2">
      <c r="A14" s="1" t="s">
        <v>954</v>
      </c>
      <c r="B14" s="1">
        <v>0.33</v>
      </c>
    </row>
    <row r="15" spans="1:3" x14ac:dyDescent="0.2">
      <c r="A15" s="1" t="s">
        <v>955</v>
      </c>
      <c r="B15" s="3" t="s">
        <v>13</v>
      </c>
      <c r="C15" s="3" t="s">
        <v>18</v>
      </c>
    </row>
    <row r="17" spans="1:3" x14ac:dyDescent="0.2">
      <c r="A17" s="3" t="s">
        <v>759</v>
      </c>
      <c r="B17" s="1" t="s">
        <v>19</v>
      </c>
      <c r="C17" s="3"/>
    </row>
    <row r="18" spans="1:3" x14ac:dyDescent="0.2">
      <c r="A18" s="3" t="s">
        <v>977</v>
      </c>
      <c r="B18" s="3" t="s">
        <v>20</v>
      </c>
      <c r="C18" s="3"/>
    </row>
    <row r="19" spans="1:3" x14ac:dyDescent="0.2">
      <c r="A19" s="3" t="s">
        <v>614</v>
      </c>
      <c r="B19" s="1" t="s">
        <v>21</v>
      </c>
      <c r="C19" s="3"/>
    </row>
    <row r="20" spans="1:3" x14ac:dyDescent="0.2">
      <c r="A20" s="3" t="s">
        <v>954</v>
      </c>
      <c r="B20" s="3">
        <v>0.13</v>
      </c>
      <c r="C20" s="1">
        <f>B20*12</f>
        <v>1.56</v>
      </c>
    </row>
    <row r="21" spans="1:3" x14ac:dyDescent="0.2">
      <c r="A21" s="3" t="s">
        <v>955</v>
      </c>
      <c r="B21" s="3" t="s">
        <v>22</v>
      </c>
      <c r="C21" s="3" t="s">
        <v>13</v>
      </c>
    </row>
    <row r="22" spans="1:3" x14ac:dyDescent="0.2">
      <c r="A22" s="3" t="s">
        <v>23</v>
      </c>
      <c r="B22" s="1" t="s">
        <v>24</v>
      </c>
      <c r="C22" s="3"/>
    </row>
    <row r="23" spans="1:3" x14ac:dyDescent="0.2">
      <c r="A23" s="3" t="s">
        <v>614</v>
      </c>
      <c r="B23" s="3" t="s">
        <v>25</v>
      </c>
      <c r="C23" s="3"/>
    </row>
    <row r="24" spans="1:3" x14ac:dyDescent="0.2">
      <c r="A24" s="3" t="s">
        <v>954</v>
      </c>
      <c r="B24" s="3">
        <v>1.6900000000000001E-3</v>
      </c>
      <c r="C24" s="3">
        <f>B24*12</f>
        <v>2.0279999999999999E-2</v>
      </c>
    </row>
    <row r="25" spans="1:3" x14ac:dyDescent="0.2">
      <c r="A25" s="3" t="s">
        <v>955</v>
      </c>
      <c r="B25" s="3" t="s">
        <v>22</v>
      </c>
      <c r="C25" s="3" t="s">
        <v>13</v>
      </c>
    </row>
    <row r="27" spans="1:3" x14ac:dyDescent="0.2">
      <c r="A27" s="1" t="s">
        <v>759</v>
      </c>
      <c r="B27" s="3" t="s">
        <v>26</v>
      </c>
    </row>
    <row r="28" spans="1:3" x14ac:dyDescent="0.2">
      <c r="A28" s="1" t="s">
        <v>977</v>
      </c>
      <c r="B28" s="1" t="s">
        <v>27</v>
      </c>
    </row>
    <row r="29" spans="1:3" x14ac:dyDescent="0.2">
      <c r="A29" s="1" t="s">
        <v>614</v>
      </c>
      <c r="B29" s="3" t="s">
        <v>28</v>
      </c>
    </row>
    <row r="30" spans="1:3" x14ac:dyDescent="0.2">
      <c r="A30" s="1" t="s">
        <v>954</v>
      </c>
      <c r="B30" s="1">
        <v>0.85</v>
      </c>
      <c r="C30" s="3" t="s">
        <v>29</v>
      </c>
    </row>
    <row r="31" spans="1:3" x14ac:dyDescent="0.2">
      <c r="A31" s="1" t="s">
        <v>955</v>
      </c>
      <c r="B31" s="3" t="s">
        <v>13</v>
      </c>
    </row>
    <row r="32" spans="1:3" x14ac:dyDescent="0.2">
      <c r="A32" s="1"/>
    </row>
    <row r="33" spans="1:3" x14ac:dyDescent="0.2">
      <c r="A33" s="1" t="s">
        <v>759</v>
      </c>
      <c r="B33" s="3" t="s">
        <v>30</v>
      </c>
    </row>
    <row r="34" spans="1:3" x14ac:dyDescent="0.2">
      <c r="A34" s="1" t="s">
        <v>977</v>
      </c>
      <c r="B34" s="3" t="s">
        <v>31</v>
      </c>
    </row>
    <row r="35" spans="1:3" x14ac:dyDescent="0.2">
      <c r="A35" s="1" t="s">
        <v>614</v>
      </c>
      <c r="B35" s="3" t="s">
        <v>32</v>
      </c>
    </row>
    <row r="36" spans="1:3" x14ac:dyDescent="0.2">
      <c r="A36" s="1" t="s">
        <v>954</v>
      </c>
      <c r="B36" s="1">
        <v>0.33</v>
      </c>
    </row>
    <row r="37" spans="1:3" x14ac:dyDescent="0.2">
      <c r="A37" s="1" t="s">
        <v>955</v>
      </c>
      <c r="B37" s="3" t="s">
        <v>13</v>
      </c>
    </row>
    <row r="39" spans="1:3" x14ac:dyDescent="0.2">
      <c r="A39" s="25" t="s">
        <v>759</v>
      </c>
      <c r="B39" s="26" t="s">
        <v>33</v>
      </c>
    </row>
    <row r="40" spans="1:3" x14ac:dyDescent="0.2">
      <c r="A40" s="25" t="s">
        <v>977</v>
      </c>
      <c r="B40" s="25" t="s">
        <v>34</v>
      </c>
    </row>
    <row r="41" spans="1:3" x14ac:dyDescent="0.2">
      <c r="A41" s="25" t="s">
        <v>614</v>
      </c>
      <c r="B41" s="26" t="s">
        <v>35</v>
      </c>
    </row>
    <row r="42" spans="1:3" x14ac:dyDescent="0.2">
      <c r="A42" s="25" t="s">
        <v>954</v>
      </c>
      <c r="B42" s="25">
        <v>0.5</v>
      </c>
    </row>
    <row r="43" spans="1:3" x14ac:dyDescent="0.2">
      <c r="A43" s="25" t="s">
        <v>955</v>
      </c>
      <c r="B43" s="26" t="s">
        <v>36</v>
      </c>
      <c r="C43" s="3" t="s">
        <v>37</v>
      </c>
    </row>
    <row r="45" spans="1:3" x14ac:dyDescent="0.2">
      <c r="A45" s="26"/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B5"/>
  <sheetViews>
    <sheetView workbookViewId="0"/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1037</v>
      </c>
    </row>
    <row r="2" spans="1:2" x14ac:dyDescent="0.2">
      <c r="A2" s="3" t="s">
        <v>962</v>
      </c>
      <c r="B2" s="1" t="s">
        <v>778</v>
      </c>
    </row>
    <row r="3" spans="1:2" x14ac:dyDescent="0.2">
      <c r="A3" s="3" t="s">
        <v>614</v>
      </c>
      <c r="B3" s="3" t="s">
        <v>38</v>
      </c>
    </row>
    <row r="4" spans="1:2" x14ac:dyDescent="0.2">
      <c r="A4" s="3" t="s">
        <v>954</v>
      </c>
      <c r="B4" s="1">
        <v>0.03</v>
      </c>
    </row>
    <row r="5" spans="1:2" x14ac:dyDescent="0.2">
      <c r="A5" s="3" t="s">
        <v>955</v>
      </c>
      <c r="B5" s="3" t="s">
        <v>39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C44"/>
  <sheetViews>
    <sheetView workbookViewId="0"/>
  </sheetViews>
  <sheetFormatPr baseColWidth="10" defaultColWidth="11.42578125" defaultRowHeight="12.75" x14ac:dyDescent="0.2"/>
  <sheetData>
    <row r="1" spans="1:3" x14ac:dyDescent="0.2">
      <c r="A1" s="3" t="s">
        <v>759</v>
      </c>
      <c r="B1" s="3" t="s">
        <v>40</v>
      </c>
    </row>
    <row r="3" spans="1:3" x14ac:dyDescent="0.2">
      <c r="A3" s="3" t="s">
        <v>614</v>
      </c>
      <c r="B3" s="3" t="s">
        <v>41</v>
      </c>
    </row>
    <row r="4" spans="1:3" x14ac:dyDescent="0.2">
      <c r="A4" s="3" t="s">
        <v>954</v>
      </c>
      <c r="B4" s="4">
        <v>1.4999999999999999E-2</v>
      </c>
      <c r="C4" s="3">
        <f>B4*12</f>
        <v>0.18</v>
      </c>
    </row>
    <row r="5" spans="1:3" x14ac:dyDescent="0.2">
      <c r="A5" s="3" t="s">
        <v>955</v>
      </c>
      <c r="B5" s="4" t="s">
        <v>12</v>
      </c>
      <c r="C5" s="3" t="s">
        <v>13</v>
      </c>
    </row>
    <row r="8" spans="1:3" x14ac:dyDescent="0.2">
      <c r="A8" s="3" t="s">
        <v>759</v>
      </c>
      <c r="B8" s="3" t="s">
        <v>42</v>
      </c>
    </row>
    <row r="9" spans="1:3" x14ac:dyDescent="0.2">
      <c r="A9" s="3" t="s">
        <v>977</v>
      </c>
      <c r="B9" s="3" t="s">
        <v>43</v>
      </c>
    </row>
    <row r="10" spans="1:3" x14ac:dyDescent="0.2">
      <c r="A10" s="3" t="s">
        <v>614</v>
      </c>
      <c r="B10" s="3" t="s">
        <v>41</v>
      </c>
    </row>
    <row r="11" spans="1:3" x14ac:dyDescent="0.2">
      <c r="A11" s="3" t="s">
        <v>954</v>
      </c>
      <c r="B11" s="4">
        <v>2.5000000000000001E-2</v>
      </c>
      <c r="C11" s="3">
        <f>B11*12</f>
        <v>0.30000000000000004</v>
      </c>
    </row>
    <row r="12" spans="1:3" x14ac:dyDescent="0.2">
      <c r="A12" s="3" t="s">
        <v>955</v>
      </c>
      <c r="B12" s="4" t="s">
        <v>22</v>
      </c>
      <c r="C12" s="3" t="s">
        <v>13</v>
      </c>
    </row>
    <row r="15" spans="1:3" x14ac:dyDescent="0.2">
      <c r="A15" s="3" t="s">
        <v>759</v>
      </c>
      <c r="B15" s="4" t="s">
        <v>947</v>
      </c>
      <c r="C15" s="4"/>
    </row>
    <row r="16" spans="1:3" x14ac:dyDescent="0.2">
      <c r="A16" s="3" t="s">
        <v>977</v>
      </c>
      <c r="B16" s="4" t="s">
        <v>44</v>
      </c>
      <c r="C16" s="4"/>
    </row>
    <row r="17" spans="1:3" x14ac:dyDescent="0.2">
      <c r="A17" s="3" t="s">
        <v>614</v>
      </c>
      <c r="B17" s="4" t="s">
        <v>45</v>
      </c>
      <c r="C17" s="4"/>
    </row>
    <row r="18" spans="1:3" x14ac:dyDescent="0.2">
      <c r="A18" s="3" t="s">
        <v>954</v>
      </c>
      <c r="B18" s="4">
        <v>0.41</v>
      </c>
      <c r="C18" s="4"/>
    </row>
    <row r="19" spans="1:3" x14ac:dyDescent="0.2">
      <c r="A19" s="3" t="s">
        <v>955</v>
      </c>
      <c r="B19" s="4" t="s">
        <v>36</v>
      </c>
      <c r="C19" s="4"/>
    </row>
    <row r="21" spans="1:3" x14ac:dyDescent="0.2">
      <c r="B21" s="4"/>
      <c r="C21" s="4"/>
    </row>
    <row r="22" spans="1:3" x14ac:dyDescent="0.2">
      <c r="A22" s="3" t="s">
        <v>759</v>
      </c>
      <c r="B22" s="4" t="s">
        <v>1024</v>
      </c>
      <c r="C22" s="4"/>
    </row>
    <row r="23" spans="1:3" x14ac:dyDescent="0.2">
      <c r="A23" s="3" t="s">
        <v>977</v>
      </c>
      <c r="B23" s="4" t="s">
        <v>46</v>
      </c>
      <c r="C23" s="4"/>
    </row>
    <row r="24" spans="1:3" x14ac:dyDescent="0.2">
      <c r="A24" s="3" t="s">
        <v>614</v>
      </c>
      <c r="B24" s="4" t="s">
        <v>47</v>
      </c>
      <c r="C24" s="4"/>
    </row>
    <row r="25" spans="1:3" x14ac:dyDescent="0.2">
      <c r="A25" s="3" t="s">
        <v>954</v>
      </c>
      <c r="B25" s="4">
        <v>0.64</v>
      </c>
      <c r="C25" s="4"/>
    </row>
    <row r="26" spans="1:3" x14ac:dyDescent="0.2">
      <c r="A26" s="3" t="s">
        <v>955</v>
      </c>
      <c r="B26" s="4" t="s">
        <v>36</v>
      </c>
      <c r="C26" s="4"/>
    </row>
    <row r="28" spans="1:3" x14ac:dyDescent="0.2">
      <c r="A28" s="1" t="s">
        <v>759</v>
      </c>
      <c r="B28" s="3" t="s">
        <v>48</v>
      </c>
    </row>
    <row r="29" spans="1:3" x14ac:dyDescent="0.2">
      <c r="A29" s="1" t="s">
        <v>977</v>
      </c>
      <c r="B29" s="1" t="s">
        <v>778</v>
      </c>
    </row>
    <row r="30" spans="1:3" x14ac:dyDescent="0.2">
      <c r="A30" s="1" t="s">
        <v>614</v>
      </c>
      <c r="B30" s="3" t="s">
        <v>49</v>
      </c>
    </row>
    <row r="31" spans="1:3" x14ac:dyDescent="0.2">
      <c r="A31" s="1" t="s">
        <v>954</v>
      </c>
      <c r="B31" s="3">
        <v>1</v>
      </c>
    </row>
    <row r="32" spans="1:3" x14ac:dyDescent="0.2">
      <c r="A32" s="1" t="s">
        <v>955</v>
      </c>
      <c r="B32" s="3" t="s">
        <v>36</v>
      </c>
    </row>
    <row r="34" spans="1:2" x14ac:dyDescent="0.2">
      <c r="A34" s="25" t="s">
        <v>759</v>
      </c>
      <c r="B34" s="26" t="s">
        <v>33</v>
      </c>
    </row>
    <row r="35" spans="1:2" x14ac:dyDescent="0.2">
      <c r="A35" s="25" t="s">
        <v>977</v>
      </c>
      <c r="B35" s="25" t="s">
        <v>34</v>
      </c>
    </row>
    <row r="36" spans="1:2" x14ac:dyDescent="0.2">
      <c r="A36" s="25" t="s">
        <v>614</v>
      </c>
      <c r="B36" s="26" t="s">
        <v>50</v>
      </c>
    </row>
    <row r="37" spans="1:2" x14ac:dyDescent="0.2">
      <c r="A37" s="25" t="s">
        <v>954</v>
      </c>
      <c r="B37" s="26">
        <v>1.25</v>
      </c>
    </row>
    <row r="38" spans="1:2" x14ac:dyDescent="0.2">
      <c r="A38" s="25" t="s">
        <v>955</v>
      </c>
      <c r="B38" s="26" t="s">
        <v>36</v>
      </c>
    </row>
    <row r="40" spans="1:2" x14ac:dyDescent="0.2">
      <c r="A40" s="1" t="s">
        <v>759</v>
      </c>
      <c r="B40" s="26" t="s">
        <v>1037</v>
      </c>
    </row>
    <row r="41" spans="1:2" x14ac:dyDescent="0.2">
      <c r="A41" s="1" t="s">
        <v>977</v>
      </c>
      <c r="B41" s="25" t="s">
        <v>778</v>
      </c>
    </row>
    <row r="42" spans="1:2" x14ac:dyDescent="0.2">
      <c r="A42" s="1" t="s">
        <v>614</v>
      </c>
      <c r="B42" s="26" t="s">
        <v>51</v>
      </c>
    </row>
    <row r="43" spans="1:2" x14ac:dyDescent="0.2">
      <c r="A43" s="1" t="s">
        <v>954</v>
      </c>
      <c r="B43" s="3">
        <v>1.5</v>
      </c>
    </row>
    <row r="44" spans="1:2" x14ac:dyDescent="0.2">
      <c r="A44" s="1" t="s">
        <v>955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G41"/>
  <sheetViews>
    <sheetView topLeftCell="A10" workbookViewId="0">
      <selection activeCell="F22" sqref="F22"/>
    </sheetView>
  </sheetViews>
  <sheetFormatPr baseColWidth="10" defaultColWidth="11.42578125" defaultRowHeight="12.75" x14ac:dyDescent="0.2"/>
  <cols>
    <col min="3" max="3" width="13.85546875" customWidth="1"/>
    <col min="6" max="6" width="16.85546875" customWidth="1"/>
  </cols>
  <sheetData>
    <row r="1" spans="1:6" x14ac:dyDescent="0.2">
      <c r="A1" s="3" t="s">
        <v>759</v>
      </c>
      <c r="B1" s="3" t="s">
        <v>52</v>
      </c>
    </row>
    <row r="2" spans="1:6" x14ac:dyDescent="0.2">
      <c r="B2" s="3" t="s">
        <v>53</v>
      </c>
    </row>
    <row r="4" spans="1:6" x14ac:dyDescent="0.2">
      <c r="A4" s="3" t="s">
        <v>759</v>
      </c>
      <c r="B4" s="3" t="s">
        <v>54</v>
      </c>
    </row>
    <row r="6" spans="1:6" x14ac:dyDescent="0.2">
      <c r="B6" s="3" t="s">
        <v>55</v>
      </c>
    </row>
    <row r="8" spans="1:6" x14ac:dyDescent="0.2">
      <c r="A8" s="1" t="s">
        <v>759</v>
      </c>
      <c r="B8" s="3" t="s">
        <v>56</v>
      </c>
    </row>
    <row r="9" spans="1:6" x14ac:dyDescent="0.2">
      <c r="A9" s="1" t="s">
        <v>977</v>
      </c>
      <c r="B9" s="3" t="s">
        <v>57</v>
      </c>
      <c r="F9" s="3" t="s">
        <v>58</v>
      </c>
    </row>
    <row r="10" spans="1:6" x14ac:dyDescent="0.2">
      <c r="A10" s="1" t="s">
        <v>954</v>
      </c>
      <c r="B10" s="3">
        <v>38.25</v>
      </c>
      <c r="F10" s="1">
        <f>1/B10</f>
        <v>2.6143790849673203E-2</v>
      </c>
    </row>
    <row r="11" spans="1:6" x14ac:dyDescent="0.2">
      <c r="A11" s="1"/>
    </row>
    <row r="12" spans="1:6" x14ac:dyDescent="0.2">
      <c r="A12" s="1" t="s">
        <v>759</v>
      </c>
      <c r="B12" s="3" t="s">
        <v>59</v>
      </c>
    </row>
    <row r="13" spans="1:6" x14ac:dyDescent="0.2">
      <c r="A13" s="1" t="s">
        <v>977</v>
      </c>
      <c r="B13" s="3" t="s">
        <v>60</v>
      </c>
      <c r="F13" s="3" t="s">
        <v>58</v>
      </c>
    </row>
    <row r="14" spans="1:6" x14ac:dyDescent="0.2">
      <c r="A14" s="1" t="s">
        <v>954</v>
      </c>
      <c r="B14" s="3">
        <v>12.75</v>
      </c>
      <c r="F14" s="1">
        <f>1/B14</f>
        <v>7.8431372549019607E-2</v>
      </c>
    </row>
    <row r="16" spans="1:6" x14ac:dyDescent="0.2">
      <c r="A16" s="1" t="s">
        <v>759</v>
      </c>
      <c r="B16" s="3" t="s">
        <v>59</v>
      </c>
    </row>
    <row r="17" spans="1:7" x14ac:dyDescent="0.2">
      <c r="A17" s="1" t="s">
        <v>977</v>
      </c>
      <c r="B17" s="3" t="s">
        <v>61</v>
      </c>
      <c r="F17" s="3" t="s">
        <v>58</v>
      </c>
    </row>
    <row r="18" spans="1:7" x14ac:dyDescent="0.2">
      <c r="A18" s="1" t="s">
        <v>954</v>
      </c>
      <c r="B18" s="3">
        <v>51</v>
      </c>
      <c r="F18" s="1">
        <f>1/B18</f>
        <v>1.9607843137254902E-2</v>
      </c>
    </row>
    <row r="20" spans="1:7" x14ac:dyDescent="0.2">
      <c r="A20" s="1" t="s">
        <v>759</v>
      </c>
      <c r="B20" s="3" t="s">
        <v>62</v>
      </c>
    </row>
    <row r="21" spans="1:7" x14ac:dyDescent="0.2">
      <c r="A21" s="1" t="s">
        <v>977</v>
      </c>
      <c r="B21" s="3" t="s">
        <v>63</v>
      </c>
      <c r="F21" s="3" t="s">
        <v>58</v>
      </c>
    </row>
    <row r="22" spans="1:7" x14ac:dyDescent="0.2">
      <c r="A22" s="1" t="s">
        <v>954</v>
      </c>
      <c r="B22" s="3" t="s">
        <v>64</v>
      </c>
      <c r="C22" s="3" t="s">
        <v>65</v>
      </c>
      <c r="F22" s="3" t="s">
        <v>64</v>
      </c>
      <c r="G22" s="3" t="s">
        <v>65</v>
      </c>
    </row>
    <row r="23" spans="1:7" x14ac:dyDescent="0.2">
      <c r="B23" s="3">
        <v>48.4</v>
      </c>
      <c r="C23" s="3">
        <v>30.6</v>
      </c>
      <c r="F23" s="1">
        <f>1/B23</f>
        <v>2.0661157024793389E-2</v>
      </c>
      <c r="G23" s="1">
        <f>1/C23</f>
        <v>3.2679738562091505E-2</v>
      </c>
    </row>
    <row r="25" spans="1:7" x14ac:dyDescent="0.2">
      <c r="A25" s="1" t="s">
        <v>759</v>
      </c>
      <c r="B25" s="3" t="s">
        <v>66</v>
      </c>
    </row>
    <row r="26" spans="1:7" x14ac:dyDescent="0.2">
      <c r="A26" s="1" t="s">
        <v>977</v>
      </c>
    </row>
    <row r="27" spans="1:7" x14ac:dyDescent="0.2">
      <c r="A27" s="1" t="s">
        <v>614</v>
      </c>
      <c r="B27" s="3" t="s">
        <v>67</v>
      </c>
      <c r="C27" s="3" t="s">
        <v>68</v>
      </c>
      <c r="D27" s="3" t="s">
        <v>69</v>
      </c>
      <c r="E27" s="3"/>
      <c r="F27" s="3" t="s">
        <v>70</v>
      </c>
    </row>
    <row r="28" spans="1:7" x14ac:dyDescent="0.2">
      <c r="A28" s="1" t="s">
        <v>954</v>
      </c>
      <c r="C28" s="3">
        <v>8.5000000000000006E-3</v>
      </c>
      <c r="D28" s="3">
        <v>1.5E-3</v>
      </c>
      <c r="E28" s="3"/>
      <c r="F28" s="1">
        <v>5.0000000000000001E-3</v>
      </c>
    </row>
    <row r="30" spans="1:7" x14ac:dyDescent="0.2">
      <c r="A30" s="1" t="s">
        <v>759</v>
      </c>
      <c r="B30" s="3" t="s">
        <v>66</v>
      </c>
    </row>
    <row r="31" spans="1:7" x14ac:dyDescent="0.2">
      <c r="A31" s="1" t="s">
        <v>977</v>
      </c>
    </row>
    <row r="32" spans="1:7" x14ac:dyDescent="0.2">
      <c r="A32" s="1" t="s">
        <v>614</v>
      </c>
      <c r="B32" s="3" t="s">
        <v>71</v>
      </c>
    </row>
    <row r="33" spans="1:7" x14ac:dyDescent="0.2">
      <c r="A33" s="1" t="s">
        <v>954</v>
      </c>
      <c r="B33" s="1">
        <v>0.01</v>
      </c>
    </row>
    <row r="35" spans="1:7" x14ac:dyDescent="0.2">
      <c r="A35" s="27" t="s">
        <v>759</v>
      </c>
      <c r="B35" t="s">
        <v>72</v>
      </c>
    </row>
    <row r="36" spans="1:7" x14ac:dyDescent="0.2">
      <c r="A36" s="27" t="s">
        <v>962</v>
      </c>
      <c r="B36" s="1" t="s">
        <v>778</v>
      </c>
    </row>
    <row r="37" spans="1:7" x14ac:dyDescent="0.2">
      <c r="A37" s="27"/>
      <c r="B37" t="s">
        <v>73</v>
      </c>
    </row>
    <row r="38" spans="1:7" x14ac:dyDescent="0.2">
      <c r="A38" s="27"/>
      <c r="D38" t="s">
        <v>74</v>
      </c>
      <c r="E38" t="s">
        <v>75</v>
      </c>
      <c r="F38" t="s">
        <v>76</v>
      </c>
      <c r="G38" t="s">
        <v>75</v>
      </c>
    </row>
    <row r="39" spans="1:7" x14ac:dyDescent="0.2">
      <c r="B39" t="s">
        <v>77</v>
      </c>
      <c r="D39">
        <v>45.7</v>
      </c>
      <c r="E39" t="s">
        <v>78</v>
      </c>
      <c r="F39">
        <v>45.5</v>
      </c>
      <c r="G39" t="s">
        <v>78</v>
      </c>
    </row>
    <row r="40" spans="1:7" x14ac:dyDescent="0.2">
      <c r="B40" t="s">
        <v>79</v>
      </c>
      <c r="D40">
        <v>1.24</v>
      </c>
      <c r="E40" t="s">
        <v>80</v>
      </c>
      <c r="F40">
        <v>1.32</v>
      </c>
      <c r="G40" t="s">
        <v>81</v>
      </c>
    </row>
    <row r="41" spans="1:7" x14ac:dyDescent="0.2">
      <c r="C41" t="s">
        <v>58</v>
      </c>
      <c r="D41" s="1">
        <f>D40/D39</f>
        <v>2.7133479212253828E-2</v>
      </c>
      <c r="F41" s="1">
        <f>F40/F39</f>
        <v>2.9010989010989013E-2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3" workbookViewId="0"/>
  </sheetViews>
  <sheetFormatPr baseColWidth="10" defaultColWidth="11.42578125" defaultRowHeight="12.75" x14ac:dyDescent="0.2"/>
  <sheetData>
    <row r="1" spans="1:3" x14ac:dyDescent="0.2">
      <c r="A1" s="1" t="s">
        <v>82</v>
      </c>
      <c r="B1" s="3" t="s">
        <v>83</v>
      </c>
    </row>
    <row r="2" spans="1:3" x14ac:dyDescent="0.2">
      <c r="A2" s="1" t="s">
        <v>614</v>
      </c>
      <c r="B2" s="11" t="s">
        <v>84</v>
      </c>
    </row>
    <row r="3" spans="1:3" x14ac:dyDescent="0.2">
      <c r="A3" s="1" t="s">
        <v>962</v>
      </c>
      <c r="B3" s="1" t="s">
        <v>85</v>
      </c>
    </row>
    <row r="4" spans="1:3" x14ac:dyDescent="0.2">
      <c r="A4" s="1" t="s">
        <v>86</v>
      </c>
      <c r="B4" s="3" t="s">
        <v>87</v>
      </c>
    </row>
    <row r="5" spans="1:3" x14ac:dyDescent="0.2">
      <c r="A5" s="1" t="s">
        <v>955</v>
      </c>
      <c r="B5" s="3" t="s">
        <v>88</v>
      </c>
    </row>
    <row r="6" spans="1:3" x14ac:dyDescent="0.2">
      <c r="A6" s="1"/>
      <c r="B6" s="3" t="s">
        <v>89</v>
      </c>
    </row>
    <row r="7" spans="1:3" x14ac:dyDescent="0.2">
      <c r="A7" s="1"/>
    </row>
    <row r="8" spans="1:3" x14ac:dyDescent="0.2">
      <c r="A8" s="1" t="s">
        <v>82</v>
      </c>
      <c r="B8" s="3" t="s">
        <v>90</v>
      </c>
    </row>
    <row r="9" spans="1:3" x14ac:dyDescent="0.2">
      <c r="A9" s="1" t="s">
        <v>614</v>
      </c>
      <c r="B9" s="3" t="s">
        <v>91</v>
      </c>
    </row>
    <row r="10" spans="1:3" x14ac:dyDescent="0.2">
      <c r="A10" s="1" t="s">
        <v>962</v>
      </c>
      <c r="B10" s="3" t="s">
        <v>92</v>
      </c>
      <c r="C10" s="3" t="s">
        <v>93</v>
      </c>
    </row>
    <row r="11" spans="1:3" x14ac:dyDescent="0.2">
      <c r="A11" s="1" t="s">
        <v>86</v>
      </c>
      <c r="B11" s="3">
        <v>8</v>
      </c>
      <c r="C11" s="28" t="s">
        <v>94</v>
      </c>
    </row>
    <row r="12" spans="1:3" x14ac:dyDescent="0.2">
      <c r="A12" s="1" t="s">
        <v>955</v>
      </c>
      <c r="B12" s="28" t="s">
        <v>88</v>
      </c>
      <c r="C12" s="28" t="s">
        <v>88</v>
      </c>
    </row>
    <row r="13" spans="1:3" x14ac:dyDescent="0.2">
      <c r="B13" s="3">
        <v>0.8</v>
      </c>
      <c r="C13" s="3" t="s">
        <v>95</v>
      </c>
    </row>
    <row r="15" spans="1:3" x14ac:dyDescent="0.2">
      <c r="A15" s="25" t="s">
        <v>82</v>
      </c>
      <c r="B15" s="3" t="s">
        <v>96</v>
      </c>
    </row>
    <row r="16" spans="1:3" x14ac:dyDescent="0.2">
      <c r="A16" s="25" t="s">
        <v>614</v>
      </c>
      <c r="B16" s="3" t="s">
        <v>97</v>
      </c>
    </row>
    <row r="17" spans="1:3" x14ac:dyDescent="0.2">
      <c r="A17" s="25" t="s">
        <v>962</v>
      </c>
    </row>
    <row r="18" spans="1:3" x14ac:dyDescent="0.2">
      <c r="A18" s="26" t="s">
        <v>98</v>
      </c>
      <c r="B18" s="29">
        <v>6</v>
      </c>
      <c r="C18" s="29">
        <v>18</v>
      </c>
    </row>
    <row r="19" spans="1:3" x14ac:dyDescent="0.2">
      <c r="A19" s="25"/>
      <c r="B19" s="3" t="s">
        <v>99</v>
      </c>
      <c r="C19" s="3" t="s">
        <v>99</v>
      </c>
    </row>
    <row r="20" spans="1:3" x14ac:dyDescent="0.2">
      <c r="A20" s="25" t="s">
        <v>86</v>
      </c>
      <c r="B20" s="3" t="s">
        <v>100</v>
      </c>
      <c r="C20" s="3" t="s">
        <v>101</v>
      </c>
    </row>
    <row r="21" spans="1:3" x14ac:dyDescent="0.2">
      <c r="A21" s="25" t="s">
        <v>955</v>
      </c>
      <c r="B21" s="3" t="s">
        <v>88</v>
      </c>
      <c r="C21" s="3" t="s">
        <v>88</v>
      </c>
    </row>
    <row r="22" spans="1:3" x14ac:dyDescent="0.2">
      <c r="B22" s="3" t="s">
        <v>102</v>
      </c>
      <c r="C22" s="3" t="s">
        <v>103</v>
      </c>
    </row>
    <row r="24" spans="1:3" x14ac:dyDescent="0.2">
      <c r="A24" s="1" t="s">
        <v>82</v>
      </c>
      <c r="B24" s="3" t="s">
        <v>790</v>
      </c>
    </row>
    <row r="25" spans="1:3" x14ac:dyDescent="0.2">
      <c r="A25" s="1" t="s">
        <v>614</v>
      </c>
      <c r="B25" s="3" t="s">
        <v>104</v>
      </c>
    </row>
    <row r="26" spans="1:3" x14ac:dyDescent="0.2">
      <c r="A26" s="1" t="s">
        <v>962</v>
      </c>
      <c r="B26" s="1" t="s">
        <v>778</v>
      </c>
    </row>
    <row r="27" spans="1:3" x14ac:dyDescent="0.2">
      <c r="A27" s="1" t="s">
        <v>86</v>
      </c>
      <c r="B27" s="3">
        <v>0.5</v>
      </c>
    </row>
    <row r="28" spans="1:3" x14ac:dyDescent="0.2">
      <c r="A28" s="1" t="s">
        <v>955</v>
      </c>
    </row>
    <row r="30" spans="1:3" x14ac:dyDescent="0.2">
      <c r="A30" s="1" t="s">
        <v>82</v>
      </c>
      <c r="B30" s="3" t="s">
        <v>105</v>
      </c>
    </row>
    <row r="31" spans="1:3" x14ac:dyDescent="0.2">
      <c r="A31" s="1" t="s">
        <v>614</v>
      </c>
      <c r="B31" s="3" t="s">
        <v>106</v>
      </c>
    </row>
    <row r="32" spans="1:3" x14ac:dyDescent="0.2">
      <c r="A32" s="1" t="s">
        <v>962</v>
      </c>
      <c r="B32" s="1" t="s">
        <v>778</v>
      </c>
    </row>
    <row r="33" spans="1:2" x14ac:dyDescent="0.2">
      <c r="A33" s="1" t="s">
        <v>86</v>
      </c>
      <c r="B33" s="3">
        <v>0.55000000000000004</v>
      </c>
    </row>
    <row r="34" spans="1:2" x14ac:dyDescent="0.2">
      <c r="A34" s="1" t="s">
        <v>955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0" sqref="B10"/>
    </sheetView>
  </sheetViews>
  <sheetFormatPr baseColWidth="10" defaultColWidth="11.42578125" defaultRowHeight="12.75" x14ac:dyDescent="0.2"/>
  <sheetData>
    <row r="1" spans="1:3" x14ac:dyDescent="0.2">
      <c r="A1" s="11" t="s">
        <v>759</v>
      </c>
      <c r="B1" s="4" t="s">
        <v>107</v>
      </c>
      <c r="C1" s="11"/>
    </row>
    <row r="2" spans="1:3" x14ac:dyDescent="0.2">
      <c r="A2" s="11"/>
      <c r="B2" s="4" t="s">
        <v>108</v>
      </c>
      <c r="C2" s="11"/>
    </row>
    <row r="3" spans="1:3" x14ac:dyDescent="0.2">
      <c r="A3" s="11" t="s">
        <v>614</v>
      </c>
      <c r="B3" s="4" t="s">
        <v>109</v>
      </c>
      <c r="C3" s="11"/>
    </row>
    <row r="4" spans="1:3" x14ac:dyDescent="0.2">
      <c r="A4" s="11" t="s">
        <v>954</v>
      </c>
      <c r="B4" s="4">
        <v>0.2</v>
      </c>
      <c r="C4" s="11"/>
    </row>
    <row r="5" spans="1:3" x14ac:dyDescent="0.2">
      <c r="A5" s="11" t="s">
        <v>955</v>
      </c>
      <c r="B5" s="11"/>
      <c r="C5" s="11"/>
    </row>
    <row r="7" spans="1:3" x14ac:dyDescent="0.2">
      <c r="A7" s="1" t="s">
        <v>82</v>
      </c>
      <c r="B7" s="3" t="s">
        <v>105</v>
      </c>
    </row>
    <row r="8" spans="1:3" x14ac:dyDescent="0.2">
      <c r="A8" s="1" t="s">
        <v>614</v>
      </c>
      <c r="B8" s="3" t="s">
        <v>110</v>
      </c>
    </row>
    <row r="9" spans="1:3" x14ac:dyDescent="0.2">
      <c r="A9" s="1" t="s">
        <v>962</v>
      </c>
      <c r="B9" s="1" t="s">
        <v>778</v>
      </c>
    </row>
    <row r="10" spans="1:3" x14ac:dyDescent="0.2">
      <c r="A10" s="1" t="s">
        <v>86</v>
      </c>
      <c r="B10" s="91">
        <v>0.55000000000000004</v>
      </c>
    </row>
    <row r="11" spans="1:3" x14ac:dyDescent="0.2">
      <c r="A11" s="1" t="s">
        <v>955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opLeftCell="A59" workbookViewId="0"/>
  </sheetViews>
  <sheetFormatPr baseColWidth="10" defaultColWidth="11.42578125" defaultRowHeight="12.75" x14ac:dyDescent="0.2"/>
  <cols>
    <col min="1" max="2" width="11.42578125" customWidth="1"/>
    <col min="3" max="3" width="27.85546875" style="3" customWidth="1"/>
  </cols>
  <sheetData>
    <row r="1" spans="1:13" x14ac:dyDescent="0.2">
      <c r="A1" s="3" t="s">
        <v>759</v>
      </c>
      <c r="C1" s="30" t="s">
        <v>111</v>
      </c>
    </row>
    <row r="2" spans="1:13" x14ac:dyDescent="0.2">
      <c r="A2" s="3" t="s">
        <v>962</v>
      </c>
      <c r="C2" s="30" t="s">
        <v>112</v>
      </c>
    </row>
    <row r="3" spans="1:13" x14ac:dyDescent="0.2">
      <c r="D3" s="3" t="s">
        <v>113</v>
      </c>
      <c r="E3" s="3" t="s">
        <v>114</v>
      </c>
      <c r="F3" s="3" t="s">
        <v>115</v>
      </c>
      <c r="G3" s="3" t="s">
        <v>116</v>
      </c>
      <c r="H3" s="3" t="s">
        <v>117</v>
      </c>
      <c r="I3" s="3" t="s">
        <v>114</v>
      </c>
      <c r="J3" s="3" t="s">
        <v>118</v>
      </c>
      <c r="K3" s="3" t="s">
        <v>116</v>
      </c>
      <c r="L3" s="3" t="s">
        <v>119</v>
      </c>
      <c r="M3" s="3" t="s">
        <v>120</v>
      </c>
    </row>
    <row r="4" spans="1:13" x14ac:dyDescent="0.2">
      <c r="C4" s="3" t="s">
        <v>121</v>
      </c>
      <c r="D4" s="3">
        <v>13.6</v>
      </c>
      <c r="F4" s="3">
        <v>207</v>
      </c>
      <c r="H4" s="3">
        <f t="shared" ref="H4:H9" si="0">D4*1000000</f>
        <v>13600000</v>
      </c>
      <c r="J4" s="3">
        <f t="shared" ref="J4:J9" si="1">F4*1000000</f>
        <v>207000000</v>
      </c>
      <c r="L4" s="3">
        <f>J4/H4</f>
        <v>15.220588235294118</v>
      </c>
    </row>
    <row r="5" spans="1:13" x14ac:dyDescent="0.2">
      <c r="C5" s="4" t="s">
        <v>122</v>
      </c>
      <c r="D5" s="4">
        <v>25.9</v>
      </c>
      <c r="E5" s="4"/>
      <c r="F5" s="4">
        <v>93.7</v>
      </c>
      <c r="G5" s="4"/>
      <c r="H5" s="4">
        <f t="shared" si="0"/>
        <v>25900000</v>
      </c>
      <c r="I5" s="4"/>
      <c r="J5" s="4">
        <f t="shared" si="1"/>
        <v>93700000</v>
      </c>
      <c r="K5" s="4"/>
      <c r="L5" s="4">
        <f>J5/H5</f>
        <v>3.6177606177606179</v>
      </c>
      <c r="M5" s="4"/>
    </row>
    <row r="6" spans="1:13" x14ac:dyDescent="0.2">
      <c r="C6" s="4" t="s">
        <v>123</v>
      </c>
      <c r="D6" s="4">
        <v>232.9</v>
      </c>
      <c r="E6" s="4"/>
      <c r="F6" s="4">
        <v>241</v>
      </c>
      <c r="G6" s="4"/>
      <c r="H6" s="4">
        <f t="shared" si="0"/>
        <v>232900000</v>
      </c>
      <c r="I6" s="4"/>
      <c r="J6" s="4">
        <f t="shared" si="1"/>
        <v>241000000</v>
      </c>
      <c r="K6" s="4"/>
      <c r="L6" s="4">
        <f>J6/H6</f>
        <v>1.0347788750536711</v>
      </c>
      <c r="M6" s="4"/>
    </row>
    <row r="7" spans="1:13" x14ac:dyDescent="0.2">
      <c r="C7" s="4" t="s">
        <v>124</v>
      </c>
      <c r="D7" s="4">
        <v>25.5</v>
      </c>
      <c r="E7" s="4"/>
      <c r="F7" s="4">
        <v>38.4</v>
      </c>
      <c r="G7" s="4"/>
      <c r="H7" s="4">
        <f t="shared" si="0"/>
        <v>25500000</v>
      </c>
      <c r="I7" s="4"/>
      <c r="J7" s="4">
        <f t="shared" si="1"/>
        <v>38400000</v>
      </c>
      <c r="K7" s="4"/>
      <c r="L7" s="4"/>
      <c r="M7" s="4"/>
    </row>
    <row r="8" spans="1:13" x14ac:dyDescent="0.2">
      <c r="C8" s="4" t="s">
        <v>125</v>
      </c>
      <c r="D8" s="4">
        <v>4.5999999999999996</v>
      </c>
      <c r="E8" s="4">
        <v>15050</v>
      </c>
      <c r="F8" s="4">
        <v>10.4</v>
      </c>
      <c r="G8" s="4">
        <v>48.8</v>
      </c>
      <c r="H8" s="4">
        <f t="shared" si="0"/>
        <v>4600000</v>
      </c>
      <c r="I8" s="4">
        <f>H8+H7</f>
        <v>30100000</v>
      </c>
      <c r="J8" s="4">
        <f t="shared" si="1"/>
        <v>10400000</v>
      </c>
      <c r="K8" s="4">
        <f>J8+J7</f>
        <v>48800000</v>
      </c>
      <c r="L8" s="4"/>
      <c r="M8" s="4">
        <f>K8/I8</f>
        <v>1.6212624584717608</v>
      </c>
    </row>
    <row r="9" spans="1:13" x14ac:dyDescent="0.2">
      <c r="C9" s="4" t="s">
        <v>126</v>
      </c>
      <c r="D9" s="4">
        <v>2.1</v>
      </c>
      <c r="E9" s="4"/>
      <c r="F9" s="4">
        <v>7.7</v>
      </c>
      <c r="G9" s="4"/>
      <c r="H9" s="4">
        <f t="shared" si="0"/>
        <v>2100000</v>
      </c>
      <c r="I9" s="4"/>
      <c r="J9" s="4">
        <f t="shared" si="1"/>
        <v>7700000</v>
      </c>
      <c r="K9" s="4"/>
      <c r="L9" s="4">
        <f>J9/H9</f>
        <v>3.6666666666666665</v>
      </c>
      <c r="M9" s="4"/>
    </row>
    <row r="10" spans="1:13" x14ac:dyDescent="0.2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2" spans="1:13" x14ac:dyDescent="0.2">
      <c r="A12" s="3" t="s">
        <v>759</v>
      </c>
      <c r="C12" s="3" t="s">
        <v>127</v>
      </c>
    </row>
    <row r="14" spans="1:13" x14ac:dyDescent="0.2">
      <c r="C14" s="3" t="s">
        <v>128</v>
      </c>
    </row>
    <row r="15" spans="1:13" x14ac:dyDescent="0.2">
      <c r="C15" s="3" t="s">
        <v>129</v>
      </c>
    </row>
    <row r="16" spans="1:13" x14ac:dyDescent="0.2">
      <c r="C16" s="3" t="s">
        <v>130</v>
      </c>
    </row>
    <row r="19" spans="1:6" x14ac:dyDescent="0.2">
      <c r="A19" s="3" t="s">
        <v>845</v>
      </c>
      <c r="C19" s="3" t="s">
        <v>131</v>
      </c>
    </row>
    <row r="20" spans="1:6" x14ac:dyDescent="0.2">
      <c r="A20" s="3" t="s">
        <v>132</v>
      </c>
      <c r="C20" s="3" t="s">
        <v>133</v>
      </c>
    </row>
    <row r="21" spans="1:6" x14ac:dyDescent="0.2">
      <c r="A21" s="3" t="s">
        <v>134</v>
      </c>
      <c r="C21" s="3" t="s">
        <v>135</v>
      </c>
    </row>
    <row r="22" spans="1:6" x14ac:dyDescent="0.2">
      <c r="C22" s="3" t="s">
        <v>136</v>
      </c>
      <c r="D22" s="3" t="s">
        <v>137</v>
      </c>
      <c r="E22" s="3" t="s">
        <v>138</v>
      </c>
      <c r="F22" s="3" t="s">
        <v>139</v>
      </c>
    </row>
    <row r="23" spans="1:6" x14ac:dyDescent="0.2">
      <c r="C23" s="1" t="s">
        <v>140</v>
      </c>
      <c r="D23" s="1">
        <v>1.47</v>
      </c>
      <c r="E23" s="3">
        <v>0.14000000000000001</v>
      </c>
      <c r="F23" s="1">
        <v>14.7</v>
      </c>
    </row>
    <row r="24" spans="1:6" x14ac:dyDescent="0.2">
      <c r="C24" s="4" t="s">
        <v>141</v>
      </c>
      <c r="D24" s="4">
        <v>0.32</v>
      </c>
      <c r="E24" s="4" t="s">
        <v>768</v>
      </c>
    </row>
    <row r="25" spans="1:6" x14ac:dyDescent="0.2">
      <c r="C25" s="4" t="s">
        <v>142</v>
      </c>
      <c r="D25" s="4">
        <v>0.221</v>
      </c>
      <c r="E25" s="4">
        <v>0.05</v>
      </c>
    </row>
    <row r="26" spans="1:6" x14ac:dyDescent="0.2">
      <c r="C26" s="4" t="s">
        <v>143</v>
      </c>
      <c r="D26" s="4">
        <v>7.8E-2</v>
      </c>
      <c r="E26" s="4">
        <v>0.03</v>
      </c>
    </row>
    <row r="27" spans="1:6" x14ac:dyDescent="0.2">
      <c r="C27" s="4" t="s">
        <v>69</v>
      </c>
      <c r="D27" s="4">
        <v>4.9000000000000002E-2</v>
      </c>
      <c r="E27" s="4">
        <v>0.01</v>
      </c>
    </row>
    <row r="29" spans="1:6" x14ac:dyDescent="0.2">
      <c r="C29" s="3" t="s">
        <v>144</v>
      </c>
    </row>
    <row r="30" spans="1:6" x14ac:dyDescent="0.2">
      <c r="C30" s="3" t="s">
        <v>136</v>
      </c>
      <c r="D30" s="3" t="s">
        <v>145</v>
      </c>
    </row>
    <row r="31" spans="1:6" x14ac:dyDescent="0.2">
      <c r="C31" s="3" t="s">
        <v>140</v>
      </c>
      <c r="D31" s="3">
        <v>90</v>
      </c>
    </row>
    <row r="32" spans="1:6" x14ac:dyDescent="0.2">
      <c r="C32" s="4" t="s">
        <v>141</v>
      </c>
      <c r="D32" s="4">
        <v>67</v>
      </c>
    </row>
    <row r="33" spans="1:6" x14ac:dyDescent="0.2">
      <c r="C33" s="4" t="s">
        <v>142</v>
      </c>
      <c r="D33" s="4">
        <v>84</v>
      </c>
    </row>
    <row r="34" spans="1:6" x14ac:dyDescent="0.2">
      <c r="C34" s="4" t="s">
        <v>143</v>
      </c>
      <c r="D34" s="4">
        <v>89</v>
      </c>
    </row>
    <row r="35" spans="1:6" x14ac:dyDescent="0.2">
      <c r="C35" s="4" t="s">
        <v>69</v>
      </c>
      <c r="D35" s="4">
        <v>105</v>
      </c>
    </row>
    <row r="36" spans="1:6" x14ac:dyDescent="0.2">
      <c r="C36" s="3" t="s">
        <v>146</v>
      </c>
      <c r="D36" s="3">
        <v>435</v>
      </c>
    </row>
    <row r="39" spans="1:6" x14ac:dyDescent="0.2">
      <c r="A39" s="4" t="s">
        <v>759</v>
      </c>
      <c r="B39" s="4"/>
      <c r="C39" s="4" t="s">
        <v>947</v>
      </c>
      <c r="D39" s="4"/>
      <c r="E39" s="4"/>
      <c r="F39" s="4"/>
    </row>
    <row r="40" spans="1:6" x14ac:dyDescent="0.2">
      <c r="A40" s="4" t="s">
        <v>977</v>
      </c>
      <c r="B40" s="4"/>
      <c r="C40" s="4" t="s">
        <v>147</v>
      </c>
      <c r="D40" s="4"/>
      <c r="E40" s="4"/>
      <c r="F40" s="4"/>
    </row>
    <row r="41" spans="1:6" x14ac:dyDescent="0.2">
      <c r="A41" s="4" t="s">
        <v>614</v>
      </c>
      <c r="B41" s="4"/>
      <c r="C41" s="11" t="s">
        <v>148</v>
      </c>
      <c r="D41" s="4"/>
      <c r="E41" s="4" t="s">
        <v>149</v>
      </c>
      <c r="F41" s="4"/>
    </row>
    <row r="42" spans="1:6" x14ac:dyDescent="0.2">
      <c r="A42" s="4" t="s">
        <v>954</v>
      </c>
      <c r="B42" s="4"/>
      <c r="C42" s="4">
        <v>10</v>
      </c>
      <c r="D42" s="4"/>
      <c r="E42" s="4">
        <v>14</v>
      </c>
      <c r="F42" s="4"/>
    </row>
    <row r="43" spans="1:6" x14ac:dyDescent="0.2">
      <c r="A43" s="4" t="s">
        <v>955</v>
      </c>
      <c r="B43" s="4"/>
      <c r="C43" s="4" t="s">
        <v>150</v>
      </c>
      <c r="D43" s="4"/>
      <c r="E43" s="4" t="s">
        <v>151</v>
      </c>
      <c r="F43" s="4"/>
    </row>
    <row r="45" spans="1:6" ht="13.5" customHeight="1" x14ac:dyDescent="0.2">
      <c r="A45" s="1" t="s">
        <v>759</v>
      </c>
      <c r="B45" s="1"/>
      <c r="C45" s="13" t="s">
        <v>987</v>
      </c>
    </row>
    <row r="46" spans="1:6" x14ac:dyDescent="0.2">
      <c r="A46" s="1" t="s">
        <v>977</v>
      </c>
      <c r="B46" s="1"/>
      <c r="C46" s="1" t="s">
        <v>152</v>
      </c>
    </row>
    <row r="47" spans="1:6" x14ac:dyDescent="0.2">
      <c r="A47" s="1" t="s">
        <v>614</v>
      </c>
      <c r="B47" s="1"/>
      <c r="C47" s="1" t="s">
        <v>153</v>
      </c>
    </row>
    <row r="48" spans="1:6" x14ac:dyDescent="0.2">
      <c r="A48" s="1" t="s">
        <v>954</v>
      </c>
      <c r="B48" s="1"/>
      <c r="C48" s="3">
        <v>1.7000000000000001E-2</v>
      </c>
      <c r="D48" s="1">
        <v>17</v>
      </c>
    </row>
    <row r="49" spans="1:4" x14ac:dyDescent="0.2">
      <c r="A49" s="1" t="s">
        <v>955</v>
      </c>
      <c r="B49" s="1"/>
      <c r="C49" s="3" t="s">
        <v>154</v>
      </c>
      <c r="D49" s="3" t="s">
        <v>139</v>
      </c>
    </row>
    <row r="52" spans="1:4" x14ac:dyDescent="0.2">
      <c r="A52" s="1" t="s">
        <v>759</v>
      </c>
      <c r="B52" s="1"/>
      <c r="C52" s="3" t="s">
        <v>155</v>
      </c>
    </row>
    <row r="53" spans="1:4" x14ac:dyDescent="0.2">
      <c r="A53" s="1" t="s">
        <v>977</v>
      </c>
      <c r="B53" s="1"/>
      <c r="C53" s="11" t="s">
        <v>156</v>
      </c>
    </row>
    <row r="54" spans="1:4" x14ac:dyDescent="0.2">
      <c r="A54" s="1" t="s">
        <v>614</v>
      </c>
      <c r="B54" s="1"/>
      <c r="C54" s="3" t="s">
        <v>157</v>
      </c>
      <c r="D54" s="1">
        <v>16</v>
      </c>
    </row>
    <row r="55" spans="1:4" x14ac:dyDescent="0.2">
      <c r="A55" s="1" t="s">
        <v>954</v>
      </c>
      <c r="B55" s="1"/>
      <c r="C55" s="3">
        <v>1.6E-2</v>
      </c>
      <c r="D55" s="3" t="s">
        <v>139</v>
      </c>
    </row>
    <row r="56" spans="1:4" x14ac:dyDescent="0.2">
      <c r="A56" s="1" t="s">
        <v>955</v>
      </c>
      <c r="B56" s="1"/>
      <c r="C56" s="3" t="s">
        <v>158</v>
      </c>
    </row>
    <row r="58" spans="1:4" x14ac:dyDescent="0.2">
      <c r="A58" s="1" t="s">
        <v>759</v>
      </c>
      <c r="B58" s="1"/>
      <c r="C58" s="4" t="s">
        <v>159</v>
      </c>
    </row>
    <row r="59" spans="1:4" x14ac:dyDescent="0.2">
      <c r="A59" s="1"/>
      <c r="B59" s="1"/>
    </row>
    <row r="60" spans="1:4" x14ac:dyDescent="0.2">
      <c r="A60" s="1"/>
      <c r="B60" s="1"/>
    </row>
    <row r="61" spans="1:4" x14ac:dyDescent="0.2">
      <c r="A61" s="1"/>
      <c r="B61" s="1"/>
    </row>
    <row r="62" spans="1:4" x14ac:dyDescent="0.2">
      <c r="A62" s="1"/>
      <c r="B62" s="1"/>
    </row>
    <row r="80" spans="1:3" x14ac:dyDescent="0.2">
      <c r="A80" s="1" t="s">
        <v>759</v>
      </c>
      <c r="B80" s="1"/>
      <c r="C80" s="3" t="s">
        <v>160</v>
      </c>
    </row>
    <row r="81" spans="1:8" x14ac:dyDescent="0.2">
      <c r="A81" s="1" t="s">
        <v>614</v>
      </c>
      <c r="B81" s="1"/>
      <c r="C81" s="3" t="s">
        <v>161</v>
      </c>
    </row>
    <row r="82" spans="1:8" x14ac:dyDescent="0.2">
      <c r="A82" s="1" t="s">
        <v>760</v>
      </c>
      <c r="B82" s="1"/>
      <c r="C82" s="1" t="s">
        <v>778</v>
      </c>
      <c r="D82" s="1" t="s">
        <v>771</v>
      </c>
      <c r="E82" s="1" t="s">
        <v>162</v>
      </c>
      <c r="F82" s="1" t="s">
        <v>811</v>
      </c>
      <c r="G82" s="1" t="s">
        <v>793</v>
      </c>
      <c r="H82" s="3" t="s">
        <v>163</v>
      </c>
    </row>
    <row r="83" spans="1:8" x14ac:dyDescent="0.2">
      <c r="A83" s="1" t="s">
        <v>954</v>
      </c>
      <c r="B83" s="1">
        <f>1.03*14</f>
        <v>14.42</v>
      </c>
      <c r="C83" s="3" t="s">
        <v>164</v>
      </c>
      <c r="D83" s="3">
        <v>0.99</v>
      </c>
      <c r="E83" s="3">
        <v>1.1100000000000001</v>
      </c>
      <c r="F83" s="3">
        <v>0.92</v>
      </c>
      <c r="G83" s="3">
        <v>1.1000000000000001</v>
      </c>
      <c r="H83" s="3">
        <v>1.07</v>
      </c>
    </row>
    <row r="84" spans="1:8" x14ac:dyDescent="0.2">
      <c r="A84" s="1" t="s">
        <v>955</v>
      </c>
      <c r="B84" s="3" t="s">
        <v>139</v>
      </c>
      <c r="C84" s="3" t="s">
        <v>165</v>
      </c>
    </row>
    <row r="85" spans="1:8" x14ac:dyDescent="0.2">
      <c r="G85" s="1">
        <f>G83*14</f>
        <v>15.400000000000002</v>
      </c>
    </row>
    <row r="86" spans="1:8" x14ac:dyDescent="0.2">
      <c r="A86" s="1" t="s">
        <v>759</v>
      </c>
      <c r="B86" s="1"/>
      <c r="C86" s="3" t="s">
        <v>166</v>
      </c>
      <c r="G86" s="3" t="s">
        <v>139</v>
      </c>
    </row>
    <row r="87" spans="1:8" x14ac:dyDescent="0.2">
      <c r="A87" s="1" t="s">
        <v>977</v>
      </c>
      <c r="B87" s="1"/>
      <c r="C87" s="3" t="s">
        <v>778</v>
      </c>
    </row>
    <row r="88" spans="1:8" x14ac:dyDescent="0.2">
      <c r="A88" s="1" t="s">
        <v>614</v>
      </c>
      <c r="B88" s="1"/>
      <c r="C88" s="3" t="s">
        <v>167</v>
      </c>
    </row>
    <row r="89" spans="1:8" x14ac:dyDescent="0.2">
      <c r="A89" s="1" t="s">
        <v>954</v>
      </c>
      <c r="B89" s="1"/>
      <c r="C89" s="3">
        <v>2</v>
      </c>
      <c r="D89" s="3">
        <v>20</v>
      </c>
    </row>
    <row r="90" spans="1:8" x14ac:dyDescent="0.2">
      <c r="A90" s="1" t="s">
        <v>955</v>
      </c>
      <c r="B90" s="1"/>
      <c r="C90" s="28" t="s">
        <v>88</v>
      </c>
      <c r="D90" s="3" t="s">
        <v>139</v>
      </c>
    </row>
    <row r="91" spans="1:8" x14ac:dyDescent="0.2">
      <c r="C91" s="3" t="s">
        <v>168</v>
      </c>
    </row>
    <row r="93" spans="1:8" x14ac:dyDescent="0.2">
      <c r="A93" s="21" t="s">
        <v>759</v>
      </c>
      <c r="B93" s="3" t="s">
        <v>52</v>
      </c>
    </row>
    <row r="94" spans="1:8" x14ac:dyDescent="0.2">
      <c r="B94" s="3" t="s">
        <v>169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ySplit="1" topLeftCell="A2" activePane="bottomLeft" state="frozen"/>
      <selection pane="bottomLeft" activeCell="E17" sqref="E17"/>
    </sheetView>
  </sheetViews>
  <sheetFormatPr baseColWidth="10" defaultRowHeight="12.75" x14ac:dyDescent="0.2"/>
  <cols>
    <col min="1" max="1" width="29" style="6" customWidth="1"/>
    <col min="2" max="2" width="31" style="6" customWidth="1"/>
    <col min="3" max="256" width="9.140625" style="6" customWidth="1"/>
    <col min="257" max="16384" width="11.42578125" style="6"/>
  </cols>
  <sheetData>
    <row r="1" spans="1:7" s="7" customFormat="1" x14ac:dyDescent="0.2">
      <c r="A1" s="7" t="s">
        <v>759</v>
      </c>
      <c r="B1" s="7" t="s">
        <v>760</v>
      </c>
      <c r="C1" s="7" t="s">
        <v>761</v>
      </c>
      <c r="D1" s="7" t="s">
        <v>762</v>
      </c>
      <c r="E1" s="7" t="s">
        <v>763</v>
      </c>
      <c r="F1" s="7" t="s">
        <v>764</v>
      </c>
      <c r="G1" s="7" t="s">
        <v>765</v>
      </c>
    </row>
    <row r="2" spans="1:7" x14ac:dyDescent="0.2">
      <c r="A2" s="6" t="s">
        <v>766</v>
      </c>
      <c r="B2" s="6" t="s">
        <v>767</v>
      </c>
      <c r="C2" s="6" t="s">
        <v>768</v>
      </c>
    </row>
    <row r="3" spans="1:7" x14ac:dyDescent="0.2">
      <c r="A3" s="6" t="s">
        <v>769</v>
      </c>
      <c r="B3" s="6" t="s">
        <v>767</v>
      </c>
      <c r="C3" s="6" t="s">
        <v>768</v>
      </c>
    </row>
    <row r="4" spans="1:7" x14ac:dyDescent="0.2">
      <c r="A4" s="6" t="s">
        <v>770</v>
      </c>
      <c r="B4" s="6" t="s">
        <v>771</v>
      </c>
      <c r="C4" s="6" t="s">
        <v>772</v>
      </c>
      <c r="D4" s="6" t="s">
        <v>773</v>
      </c>
    </row>
    <row r="5" spans="1:7" x14ac:dyDescent="0.2">
      <c r="A5" s="6" t="s">
        <v>774</v>
      </c>
      <c r="B5" s="6" t="s">
        <v>771</v>
      </c>
      <c r="C5" s="6" t="s">
        <v>768</v>
      </c>
    </row>
    <row r="6" spans="1:7" x14ac:dyDescent="0.2">
      <c r="A6" s="6" t="s">
        <v>775</v>
      </c>
      <c r="B6" s="6" t="s">
        <v>776</v>
      </c>
      <c r="C6" s="6" t="s">
        <v>768</v>
      </c>
    </row>
    <row r="7" spans="1:7" s="8" customFormat="1" x14ac:dyDescent="0.2">
      <c r="A7" s="8" t="s">
        <v>777</v>
      </c>
      <c r="B7" s="8" t="s">
        <v>778</v>
      </c>
      <c r="C7" s="8" t="s">
        <v>779</v>
      </c>
      <c r="D7" s="8" t="s">
        <v>780</v>
      </c>
    </row>
    <row r="8" spans="1:7" s="8" customFormat="1" x14ac:dyDescent="0.2">
      <c r="A8" s="8" t="s">
        <v>781</v>
      </c>
      <c r="B8" s="8" t="s">
        <v>778</v>
      </c>
      <c r="C8" s="8" t="s">
        <v>768</v>
      </c>
    </row>
    <row r="9" spans="1:7" s="8" customFormat="1" x14ac:dyDescent="0.2">
      <c r="A9" s="8" t="s">
        <v>782</v>
      </c>
      <c r="B9" s="8" t="s">
        <v>778</v>
      </c>
      <c r="C9" s="8" t="s">
        <v>783</v>
      </c>
    </row>
    <row r="10" spans="1:7" s="8" customFormat="1" x14ac:dyDescent="0.2">
      <c r="A10" s="8" t="s">
        <v>784</v>
      </c>
      <c r="B10" s="8" t="s">
        <v>778</v>
      </c>
      <c r="C10" s="8" t="s">
        <v>783</v>
      </c>
    </row>
    <row r="11" spans="1:7" s="8" customFormat="1" x14ac:dyDescent="0.2">
      <c r="A11" s="8" t="s">
        <v>785</v>
      </c>
      <c r="B11" s="8" t="s">
        <v>778</v>
      </c>
      <c r="C11" s="8" t="s">
        <v>786</v>
      </c>
    </row>
    <row r="12" spans="1:7" s="8" customFormat="1" x14ac:dyDescent="0.2">
      <c r="A12" s="8" t="s">
        <v>787</v>
      </c>
      <c r="B12" s="8" t="s">
        <v>778</v>
      </c>
      <c r="C12" s="8" t="s">
        <v>786</v>
      </c>
    </row>
    <row r="13" spans="1:7" s="8" customFormat="1" x14ac:dyDescent="0.2">
      <c r="A13" s="8" t="s">
        <v>788</v>
      </c>
      <c r="B13" s="8" t="s">
        <v>778</v>
      </c>
      <c r="C13" s="8" t="s">
        <v>789</v>
      </c>
    </row>
    <row r="14" spans="1:7" s="8" customFormat="1" x14ac:dyDescent="0.2">
      <c r="A14" s="8" t="s">
        <v>790</v>
      </c>
      <c r="B14" s="8" t="s">
        <v>778</v>
      </c>
      <c r="C14" s="8" t="s">
        <v>791</v>
      </c>
    </row>
    <row r="15" spans="1:7" s="9" customFormat="1" x14ac:dyDescent="0.2">
      <c r="A15" s="9" t="s">
        <v>792</v>
      </c>
      <c r="B15" s="9" t="s">
        <v>793</v>
      </c>
      <c r="C15" s="9" t="s">
        <v>783</v>
      </c>
    </row>
    <row r="16" spans="1:7" s="9" customFormat="1" x14ac:dyDescent="0.2">
      <c r="A16" s="9" t="s">
        <v>794</v>
      </c>
      <c r="B16" s="9" t="s">
        <v>793</v>
      </c>
      <c r="C16" s="9" t="s">
        <v>768</v>
      </c>
    </row>
    <row r="17" spans="1:4" s="9" customFormat="1" x14ac:dyDescent="0.2">
      <c r="A17" s="9" t="s">
        <v>795</v>
      </c>
      <c r="B17" s="9" t="s">
        <v>793</v>
      </c>
      <c r="C17" s="9" t="s">
        <v>768</v>
      </c>
    </row>
    <row r="18" spans="1:4" s="9" customFormat="1" x14ac:dyDescent="0.2">
      <c r="A18" s="9" t="s">
        <v>769</v>
      </c>
      <c r="B18" s="9" t="s">
        <v>793</v>
      </c>
      <c r="C18" s="9" t="s">
        <v>768</v>
      </c>
    </row>
    <row r="19" spans="1:4" s="9" customFormat="1" x14ac:dyDescent="0.2">
      <c r="A19" s="9" t="s">
        <v>796</v>
      </c>
      <c r="B19" s="9" t="s">
        <v>793</v>
      </c>
      <c r="C19" s="9" t="s">
        <v>768</v>
      </c>
    </row>
    <row r="20" spans="1:4" s="9" customFormat="1" x14ac:dyDescent="0.2">
      <c r="A20" s="9" t="s">
        <v>797</v>
      </c>
      <c r="B20" s="9" t="s">
        <v>793</v>
      </c>
      <c r="C20" s="9" t="s">
        <v>768</v>
      </c>
    </row>
    <row r="21" spans="1:4" s="9" customFormat="1" x14ac:dyDescent="0.2">
      <c r="A21" s="9" t="s">
        <v>798</v>
      </c>
      <c r="B21" s="9" t="s">
        <v>793</v>
      </c>
      <c r="C21" s="9" t="s">
        <v>768</v>
      </c>
    </row>
    <row r="22" spans="1:4" s="9" customFormat="1" x14ac:dyDescent="0.2">
      <c r="A22" s="9" t="s">
        <v>799</v>
      </c>
      <c r="B22" s="9" t="s">
        <v>793</v>
      </c>
      <c r="C22" s="9" t="s">
        <v>768</v>
      </c>
    </row>
    <row r="23" spans="1:4" s="9" customFormat="1" x14ac:dyDescent="0.2">
      <c r="A23" s="9" t="s">
        <v>800</v>
      </c>
      <c r="B23" s="9" t="s">
        <v>793</v>
      </c>
      <c r="C23" s="9" t="s">
        <v>801</v>
      </c>
    </row>
    <row r="24" spans="1:4" s="9" customFormat="1" x14ac:dyDescent="0.2">
      <c r="A24" s="9" t="s">
        <v>802</v>
      </c>
      <c r="B24" s="9" t="s">
        <v>803</v>
      </c>
      <c r="C24" s="9" t="s">
        <v>783</v>
      </c>
    </row>
    <row r="25" spans="1:4" s="9" customFormat="1" x14ac:dyDescent="0.2">
      <c r="A25" s="9" t="s">
        <v>798</v>
      </c>
      <c r="B25" s="9" t="s">
        <v>803</v>
      </c>
      <c r="C25" s="9" t="s">
        <v>768</v>
      </c>
    </row>
    <row r="26" spans="1:4" s="9" customFormat="1" x14ac:dyDescent="0.2">
      <c r="A26" s="9" t="s">
        <v>804</v>
      </c>
      <c r="B26" s="9" t="s">
        <v>803</v>
      </c>
      <c r="C26" s="9" t="s">
        <v>768</v>
      </c>
      <c r="D26" s="9" t="s">
        <v>805</v>
      </c>
    </row>
    <row r="27" spans="1:4" x14ac:dyDescent="0.2">
      <c r="A27" s="6" t="s">
        <v>806</v>
      </c>
      <c r="B27" s="6" t="s">
        <v>807</v>
      </c>
      <c r="C27" s="6" t="s">
        <v>768</v>
      </c>
    </row>
    <row r="28" spans="1:4" x14ac:dyDescent="0.2">
      <c r="A28" s="6" t="s">
        <v>808</v>
      </c>
      <c r="B28" s="6" t="s">
        <v>809</v>
      </c>
      <c r="C28" s="6" t="s">
        <v>768</v>
      </c>
    </row>
    <row r="29" spans="1:4" s="10" customFormat="1" x14ac:dyDescent="0.2">
      <c r="A29" s="10" t="s">
        <v>810</v>
      </c>
      <c r="B29" s="10" t="s">
        <v>811</v>
      </c>
      <c r="D29" s="10" t="s">
        <v>812</v>
      </c>
    </row>
    <row r="30" spans="1:4" s="10" customFormat="1" x14ac:dyDescent="0.2">
      <c r="A30" s="10" t="s">
        <v>813</v>
      </c>
      <c r="B30" s="10" t="s">
        <v>814</v>
      </c>
      <c r="C30" s="10" t="s">
        <v>815</v>
      </c>
    </row>
    <row r="31" spans="1:4" s="9" customFormat="1" x14ac:dyDescent="0.2">
      <c r="A31" s="9" t="s">
        <v>816</v>
      </c>
      <c r="B31" s="9" t="s">
        <v>793</v>
      </c>
      <c r="C31" s="9" t="s">
        <v>817</v>
      </c>
      <c r="D31" s="9" t="s">
        <v>818</v>
      </c>
    </row>
    <row r="32" spans="1:4" x14ac:dyDescent="0.2">
      <c r="A32" s="6" t="s">
        <v>766</v>
      </c>
      <c r="B32" s="6" t="s">
        <v>819</v>
      </c>
      <c r="C32" s="6" t="s">
        <v>768</v>
      </c>
    </row>
    <row r="33" spans="1:4" x14ac:dyDescent="0.2">
      <c r="A33" s="6" t="s">
        <v>806</v>
      </c>
      <c r="B33" s="6" t="s">
        <v>820</v>
      </c>
      <c r="C33" s="6" t="s">
        <v>768</v>
      </c>
    </row>
    <row r="34" spans="1:4" x14ac:dyDescent="0.2">
      <c r="A34" s="6" t="s">
        <v>821</v>
      </c>
      <c r="B34" s="6" t="s">
        <v>822</v>
      </c>
      <c r="C34" s="6" t="s">
        <v>768</v>
      </c>
    </row>
    <row r="35" spans="1:4" x14ac:dyDescent="0.2">
      <c r="A35" s="6" t="s">
        <v>823</v>
      </c>
      <c r="B35" s="6" t="s">
        <v>822</v>
      </c>
      <c r="C35" s="6" t="s">
        <v>824</v>
      </c>
    </row>
    <row r="36" spans="1:4" x14ac:dyDescent="0.2">
      <c r="A36" s="6" t="s">
        <v>766</v>
      </c>
      <c r="B36" s="6" t="s">
        <v>825</v>
      </c>
      <c r="C36" s="6" t="s">
        <v>768</v>
      </c>
    </row>
    <row r="37" spans="1:4" x14ac:dyDescent="0.2">
      <c r="A37" s="6" t="s">
        <v>826</v>
      </c>
      <c r="B37" s="6" t="s">
        <v>827</v>
      </c>
      <c r="C37" s="6" t="s">
        <v>768</v>
      </c>
    </row>
    <row r="38" spans="1:4" x14ac:dyDescent="0.2">
      <c r="A38" s="6" t="s">
        <v>828</v>
      </c>
      <c r="B38" s="6" t="s">
        <v>827</v>
      </c>
      <c r="C38" s="6" t="s">
        <v>768</v>
      </c>
    </row>
    <row r="39" spans="1:4" s="9" customFormat="1" x14ac:dyDescent="0.2">
      <c r="A39" s="9" t="s">
        <v>829</v>
      </c>
      <c r="B39" s="9" t="s">
        <v>793</v>
      </c>
      <c r="C39" s="9" t="s">
        <v>768</v>
      </c>
      <c r="D39" s="9" t="s">
        <v>805</v>
      </c>
    </row>
    <row r="40" spans="1:4" x14ac:dyDescent="0.2">
      <c r="A40" s="6" t="s">
        <v>830</v>
      </c>
      <c r="B40" s="6" t="s">
        <v>827</v>
      </c>
      <c r="C40" s="6" t="s">
        <v>768</v>
      </c>
    </row>
    <row r="41" spans="1:4" x14ac:dyDescent="0.2">
      <c r="A41" s="6" t="s">
        <v>831</v>
      </c>
      <c r="B41" s="6" t="s">
        <v>827</v>
      </c>
      <c r="C41" s="6" t="s">
        <v>768</v>
      </c>
    </row>
    <row r="42" spans="1:4" x14ac:dyDescent="0.2">
      <c r="A42" s="6" t="s">
        <v>759</v>
      </c>
      <c r="B42" s="6" t="s">
        <v>760</v>
      </c>
      <c r="C42" s="6" t="s">
        <v>761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B9" sqref="B9"/>
    </sheetView>
  </sheetViews>
  <sheetFormatPr baseColWidth="10" defaultColWidth="11.42578125" defaultRowHeight="12.75" x14ac:dyDescent="0.2"/>
  <sheetData>
    <row r="1" spans="1:3" x14ac:dyDescent="0.2">
      <c r="A1" s="1" t="s">
        <v>759</v>
      </c>
      <c r="B1" s="13" t="s">
        <v>987</v>
      </c>
    </row>
    <row r="2" spans="1:3" x14ac:dyDescent="0.2">
      <c r="A2" s="1" t="s">
        <v>977</v>
      </c>
      <c r="B2" s="1" t="s">
        <v>152</v>
      </c>
    </row>
    <row r="3" spans="1:3" x14ac:dyDescent="0.2">
      <c r="A3" s="1" t="s">
        <v>614</v>
      </c>
      <c r="B3" s="3" t="s">
        <v>170</v>
      </c>
    </row>
    <row r="4" spans="1:3" x14ac:dyDescent="0.2">
      <c r="A4" s="1" t="s">
        <v>954</v>
      </c>
      <c r="B4" s="3">
        <v>0.02</v>
      </c>
      <c r="C4" s="3">
        <v>20</v>
      </c>
    </row>
    <row r="5" spans="1:3" x14ac:dyDescent="0.2">
      <c r="A5" s="1" t="s">
        <v>955</v>
      </c>
      <c r="B5" s="3" t="s">
        <v>154</v>
      </c>
      <c r="C5" s="3" t="s">
        <v>139</v>
      </c>
    </row>
    <row r="7" spans="1:3" x14ac:dyDescent="0.2">
      <c r="A7" s="1" t="s">
        <v>759</v>
      </c>
      <c r="B7" s="3" t="s">
        <v>171</v>
      </c>
    </row>
    <row r="8" spans="1:3" x14ac:dyDescent="0.2">
      <c r="A8" s="1" t="s">
        <v>977</v>
      </c>
      <c r="B8" s="3" t="s">
        <v>172</v>
      </c>
    </row>
    <row r="9" spans="1:3" x14ac:dyDescent="0.2">
      <c r="A9" s="1" t="s">
        <v>614</v>
      </c>
      <c r="B9" s="3" t="s">
        <v>173</v>
      </c>
    </row>
    <row r="10" spans="1:3" x14ac:dyDescent="0.2">
      <c r="A10" s="1" t="s">
        <v>954</v>
      </c>
      <c r="B10" s="3">
        <v>0.01</v>
      </c>
      <c r="C10" s="3">
        <v>10</v>
      </c>
    </row>
    <row r="11" spans="1:3" x14ac:dyDescent="0.2">
      <c r="A11" s="1" t="s">
        <v>955</v>
      </c>
      <c r="B11" s="3" t="s">
        <v>174</v>
      </c>
      <c r="C11" s="3" t="s">
        <v>139</v>
      </c>
    </row>
    <row r="13" spans="1:3" x14ac:dyDescent="0.2">
      <c r="A13" s="1" t="s">
        <v>759</v>
      </c>
      <c r="B13" s="3" t="s">
        <v>155</v>
      </c>
    </row>
    <row r="14" spans="1:3" x14ac:dyDescent="0.2">
      <c r="A14" s="1" t="s">
        <v>977</v>
      </c>
      <c r="B14" s="11" t="s">
        <v>175</v>
      </c>
    </row>
    <row r="15" spans="1:3" x14ac:dyDescent="0.2">
      <c r="B15" s="3" t="s">
        <v>176</v>
      </c>
    </row>
    <row r="16" spans="1:3" x14ac:dyDescent="0.2">
      <c r="B16" s="3">
        <v>9.5999999999999992E-3</v>
      </c>
      <c r="C16" s="3">
        <v>9.6</v>
      </c>
    </row>
    <row r="17" spans="1:12" x14ac:dyDescent="0.2">
      <c r="B17" s="3" t="s">
        <v>177</v>
      </c>
      <c r="C17" s="3" t="s">
        <v>139</v>
      </c>
    </row>
    <row r="18" spans="1:12" x14ac:dyDescent="0.2">
      <c r="A18" s="3" t="s">
        <v>759</v>
      </c>
    </row>
    <row r="19" spans="1:12" x14ac:dyDescent="0.2">
      <c r="A19" s="3" t="s">
        <v>962</v>
      </c>
    </row>
    <row r="20" spans="1:12" x14ac:dyDescent="0.2">
      <c r="C20" s="3" t="s">
        <v>113</v>
      </c>
      <c r="D20" s="3" t="s">
        <v>114</v>
      </c>
      <c r="E20" s="3" t="s">
        <v>115</v>
      </c>
      <c r="F20" s="3" t="s">
        <v>116</v>
      </c>
      <c r="G20" s="3" t="s">
        <v>117</v>
      </c>
      <c r="H20" s="3" t="s">
        <v>114</v>
      </c>
      <c r="I20" s="3" t="s">
        <v>118</v>
      </c>
      <c r="J20" s="3" t="s">
        <v>116</v>
      </c>
      <c r="K20" s="3" t="s">
        <v>119</v>
      </c>
      <c r="L20" s="3" t="s">
        <v>120</v>
      </c>
    </row>
    <row r="21" spans="1:12" x14ac:dyDescent="0.2">
      <c r="B21" s="3" t="s">
        <v>126</v>
      </c>
      <c r="C21" s="3">
        <v>2.1</v>
      </c>
      <c r="E21" s="3">
        <v>7.7</v>
      </c>
      <c r="G21" s="3">
        <f>C21*1000000</f>
        <v>2100000</v>
      </c>
      <c r="I21" s="3">
        <f>E21*1000000</f>
        <v>7700000</v>
      </c>
      <c r="K21" s="3">
        <f>I21/G21</f>
        <v>3.6666666666666665</v>
      </c>
    </row>
    <row r="22" spans="1:12" x14ac:dyDescent="0.2">
      <c r="K22" s="3" t="s">
        <v>139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L25" sqref="L25"/>
    </sheetView>
  </sheetViews>
  <sheetFormatPr baseColWidth="10" defaultColWidth="11.42578125" defaultRowHeight="12.75" x14ac:dyDescent="0.2"/>
  <sheetData>
    <row r="1" spans="1:12" x14ac:dyDescent="0.2">
      <c r="A1" s="1" t="s">
        <v>759</v>
      </c>
      <c r="B1" s="3" t="s">
        <v>171</v>
      </c>
    </row>
    <row r="2" spans="1:12" x14ac:dyDescent="0.2">
      <c r="A2" s="1" t="s">
        <v>977</v>
      </c>
      <c r="B2" s="3" t="s">
        <v>172</v>
      </c>
    </row>
    <row r="3" spans="1:12" x14ac:dyDescent="0.2">
      <c r="A3" s="1" t="s">
        <v>614</v>
      </c>
      <c r="B3" s="3" t="s">
        <v>178</v>
      </c>
    </row>
    <row r="4" spans="1:12" x14ac:dyDescent="0.2">
      <c r="A4" s="1" t="s">
        <v>954</v>
      </c>
      <c r="B4" s="3">
        <v>2E-3</v>
      </c>
      <c r="C4" s="3">
        <v>2</v>
      </c>
    </row>
    <row r="5" spans="1:12" x14ac:dyDescent="0.2">
      <c r="A5" s="1" t="s">
        <v>955</v>
      </c>
      <c r="B5" s="3" t="s">
        <v>174</v>
      </c>
      <c r="C5" s="3" t="s">
        <v>179</v>
      </c>
    </row>
    <row r="7" spans="1:12" x14ac:dyDescent="0.2">
      <c r="A7" s="1" t="s">
        <v>759</v>
      </c>
      <c r="B7" s="3" t="s">
        <v>155</v>
      </c>
    </row>
    <row r="8" spans="1:12" x14ac:dyDescent="0.2">
      <c r="A8" s="1" t="s">
        <v>977</v>
      </c>
      <c r="B8" s="11" t="s">
        <v>175</v>
      </c>
    </row>
    <row r="9" spans="1:12" x14ac:dyDescent="0.2">
      <c r="B9" s="3" t="s">
        <v>180</v>
      </c>
    </row>
    <row r="10" spans="1:12" x14ac:dyDescent="0.2">
      <c r="B10" s="3">
        <v>9.5999999999999992E-3</v>
      </c>
      <c r="C10" s="3">
        <v>9.6</v>
      </c>
    </row>
    <row r="11" spans="1:12" x14ac:dyDescent="0.2">
      <c r="B11" s="3" t="s">
        <v>177</v>
      </c>
      <c r="C11" s="3" t="s">
        <v>139</v>
      </c>
    </row>
    <row r="12" spans="1:12" x14ac:dyDescent="0.2">
      <c r="A12" s="3" t="s">
        <v>759</v>
      </c>
    </row>
    <row r="13" spans="1:12" x14ac:dyDescent="0.2">
      <c r="A13" s="3" t="s">
        <v>962</v>
      </c>
    </row>
    <row r="14" spans="1:12" x14ac:dyDescent="0.2">
      <c r="C14" s="3" t="s">
        <v>113</v>
      </c>
      <c r="D14" s="3" t="s">
        <v>114</v>
      </c>
      <c r="E14" s="3" t="s">
        <v>115</v>
      </c>
      <c r="F14" s="3" t="s">
        <v>116</v>
      </c>
      <c r="G14" s="3" t="s">
        <v>117</v>
      </c>
      <c r="H14" s="3" t="s">
        <v>114</v>
      </c>
      <c r="I14" s="3" t="s">
        <v>118</v>
      </c>
      <c r="J14" s="3" t="s">
        <v>116</v>
      </c>
      <c r="K14" s="3" t="s">
        <v>119</v>
      </c>
      <c r="L14" s="1" t="s">
        <v>120</v>
      </c>
    </row>
    <row r="16" spans="1:12" x14ac:dyDescent="0.2">
      <c r="B16" s="3" t="s">
        <v>124</v>
      </c>
      <c r="C16" s="3">
        <v>25.5</v>
      </c>
      <c r="E16" s="3">
        <v>38.4</v>
      </c>
      <c r="G16" s="3">
        <f>C16*1000000</f>
        <v>25500000</v>
      </c>
      <c r="I16" s="3">
        <f>E16*1000000</f>
        <v>38400000</v>
      </c>
    </row>
    <row r="17" spans="2:12" x14ac:dyDescent="0.2">
      <c r="B17" s="3" t="s">
        <v>125</v>
      </c>
      <c r="C17" s="3">
        <v>4.5999999999999996</v>
      </c>
      <c r="D17" s="3">
        <v>15050</v>
      </c>
      <c r="E17" s="3">
        <v>10.4</v>
      </c>
      <c r="F17" s="3">
        <v>48.8</v>
      </c>
      <c r="G17" s="3">
        <f>C17*1000000</f>
        <v>4600000</v>
      </c>
      <c r="H17" s="3">
        <f>G17+G16</f>
        <v>30100000</v>
      </c>
      <c r="I17" s="3">
        <f>E17*1000000</f>
        <v>10400000</v>
      </c>
      <c r="J17" s="3">
        <f>I17+I16</f>
        <v>48800000</v>
      </c>
      <c r="L17" s="3">
        <f>J17/H17</f>
        <v>1.6212624584717608</v>
      </c>
    </row>
    <row r="18" spans="2:12" x14ac:dyDescent="0.2">
      <c r="L18" s="3" t="s">
        <v>139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7" workbookViewId="0">
      <selection activeCell="H24" sqref="H24"/>
    </sheetView>
  </sheetViews>
  <sheetFormatPr baseColWidth="10" defaultColWidth="11.42578125" defaultRowHeight="12.75" x14ac:dyDescent="0.2"/>
  <sheetData>
    <row r="1" spans="1:11" x14ac:dyDescent="0.2">
      <c r="A1" s="1" t="s">
        <v>759</v>
      </c>
      <c r="B1" s="3" t="s">
        <v>171</v>
      </c>
    </row>
    <row r="2" spans="1:11" x14ac:dyDescent="0.2">
      <c r="A2" s="1" t="s">
        <v>977</v>
      </c>
      <c r="B2" s="3" t="s">
        <v>181</v>
      </c>
    </row>
    <row r="3" spans="1:11" x14ac:dyDescent="0.2">
      <c r="A3" s="1" t="s">
        <v>614</v>
      </c>
      <c r="B3" s="3" t="s">
        <v>182</v>
      </c>
    </row>
    <row r="4" spans="1:11" x14ac:dyDescent="0.2">
      <c r="A4" s="1" t="s">
        <v>954</v>
      </c>
      <c r="B4" s="3">
        <v>2E-3</v>
      </c>
      <c r="C4" s="3">
        <v>2</v>
      </c>
    </row>
    <row r="5" spans="1:11" x14ac:dyDescent="0.2">
      <c r="A5" s="1" t="s">
        <v>955</v>
      </c>
      <c r="B5" s="3" t="s">
        <v>174</v>
      </c>
      <c r="C5" s="3" t="s">
        <v>139</v>
      </c>
    </row>
    <row r="7" spans="1:11" x14ac:dyDescent="0.2">
      <c r="A7" s="1" t="s">
        <v>759</v>
      </c>
      <c r="B7" s="3" t="s">
        <v>155</v>
      </c>
    </row>
    <row r="8" spans="1:11" x14ac:dyDescent="0.2">
      <c r="A8" s="1" t="s">
        <v>977</v>
      </c>
      <c r="B8" s="11" t="s">
        <v>175</v>
      </c>
    </row>
    <row r="9" spans="1:11" x14ac:dyDescent="0.2">
      <c r="B9" s="3" t="s">
        <v>183</v>
      </c>
    </row>
    <row r="10" spans="1:11" x14ac:dyDescent="0.2">
      <c r="B10" s="3">
        <v>3.8E-3</v>
      </c>
      <c r="C10" s="1" t="s">
        <v>184</v>
      </c>
    </row>
    <row r="12" spans="1:11" x14ac:dyDescent="0.2">
      <c r="A12" s="3" t="s">
        <v>759</v>
      </c>
    </row>
    <row r="13" spans="1:11" x14ac:dyDescent="0.2">
      <c r="A13" s="3" t="s">
        <v>962</v>
      </c>
    </row>
    <row r="14" spans="1:11" x14ac:dyDescent="0.2">
      <c r="C14" s="3" t="s">
        <v>113</v>
      </c>
      <c r="D14" s="3" t="s">
        <v>114</v>
      </c>
      <c r="E14" s="3" t="s">
        <v>115</v>
      </c>
      <c r="F14" s="3" t="s">
        <v>116</v>
      </c>
      <c r="G14" s="3" t="s">
        <v>117</v>
      </c>
      <c r="H14" s="3" t="s">
        <v>114</v>
      </c>
      <c r="I14" s="3" t="s">
        <v>118</v>
      </c>
      <c r="J14" s="3" t="s">
        <v>116</v>
      </c>
      <c r="K14" s="3" t="s">
        <v>119</v>
      </c>
    </row>
    <row r="15" spans="1:11" x14ac:dyDescent="0.2">
      <c r="B15" s="1" t="s">
        <v>122</v>
      </c>
      <c r="C15" s="3">
        <v>25.9</v>
      </c>
      <c r="E15" s="3">
        <v>93.7</v>
      </c>
      <c r="G15" s="3">
        <f>C15*1000000</f>
        <v>25900000</v>
      </c>
      <c r="I15" s="3">
        <f>E15*1000000</f>
        <v>93700000</v>
      </c>
      <c r="K15" s="1">
        <f>I15/G15</f>
        <v>3.6177606177606179</v>
      </c>
    </row>
    <row r="16" spans="1:11" x14ac:dyDescent="0.2">
      <c r="K16" s="3" t="s">
        <v>139</v>
      </c>
    </row>
    <row r="17" spans="1:5" x14ac:dyDescent="0.2">
      <c r="A17" s="3" t="s">
        <v>845</v>
      </c>
      <c r="B17" s="3" t="s">
        <v>131</v>
      </c>
    </row>
    <row r="18" spans="1:5" x14ac:dyDescent="0.2">
      <c r="A18" s="3" t="s">
        <v>132</v>
      </c>
      <c r="B18" s="3" t="s">
        <v>133</v>
      </c>
    </row>
    <row r="19" spans="1:5" x14ac:dyDescent="0.2">
      <c r="A19" s="3" t="s">
        <v>134</v>
      </c>
      <c r="B19" s="3" t="s">
        <v>135</v>
      </c>
      <c r="C19" s="3"/>
      <c r="D19" s="3"/>
      <c r="E19" s="3"/>
    </row>
    <row r="20" spans="1:5" x14ac:dyDescent="0.2">
      <c r="B20" s="3" t="s">
        <v>136</v>
      </c>
      <c r="C20" s="3" t="s">
        <v>137</v>
      </c>
      <c r="D20" s="3" t="s">
        <v>138</v>
      </c>
      <c r="E20" s="3" t="s">
        <v>185</v>
      </c>
    </row>
    <row r="21" spans="1:5" x14ac:dyDescent="0.2">
      <c r="B21" s="3" t="s">
        <v>141</v>
      </c>
      <c r="C21" s="3">
        <v>0.32</v>
      </c>
      <c r="D21" s="3" t="s">
        <v>768</v>
      </c>
      <c r="E21" s="1">
        <v>3.2</v>
      </c>
    </row>
    <row r="22" spans="1:5" x14ac:dyDescent="0.2">
      <c r="B22" s="3"/>
      <c r="C22" s="3"/>
      <c r="D22" s="3"/>
      <c r="E22" s="3" t="s">
        <v>139</v>
      </c>
    </row>
    <row r="23" spans="1:5" x14ac:dyDescent="0.2">
      <c r="B23" s="3"/>
    </row>
    <row r="24" spans="1:5" x14ac:dyDescent="0.2">
      <c r="B24" s="3"/>
      <c r="C24" s="3"/>
    </row>
    <row r="25" spans="1:5" x14ac:dyDescent="0.2">
      <c r="B25" s="3"/>
      <c r="C25" s="3"/>
    </row>
    <row r="27" spans="1:5" x14ac:dyDescent="0.2">
      <c r="A27" s="21" t="s">
        <v>759</v>
      </c>
      <c r="B27" s="3" t="s">
        <v>52</v>
      </c>
    </row>
    <row r="28" spans="1:5" x14ac:dyDescent="0.2">
      <c r="B28" s="3" t="s">
        <v>169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baseColWidth="10" defaultColWidth="11.42578125" defaultRowHeight="12.75" x14ac:dyDescent="0.2"/>
  <sheetData>
    <row r="1" spans="1:3" x14ac:dyDescent="0.2">
      <c r="A1" s="1" t="s">
        <v>759</v>
      </c>
      <c r="B1" s="3" t="s">
        <v>171</v>
      </c>
    </row>
    <row r="2" spans="1:3" x14ac:dyDescent="0.2">
      <c r="A2" s="1" t="s">
        <v>977</v>
      </c>
      <c r="B2" s="3" t="s">
        <v>172</v>
      </c>
    </row>
    <row r="3" spans="1:3" x14ac:dyDescent="0.2">
      <c r="A3" s="1" t="s">
        <v>614</v>
      </c>
      <c r="B3" s="3" t="s">
        <v>187</v>
      </c>
    </row>
    <row r="4" spans="1:3" x14ac:dyDescent="0.2">
      <c r="A4" s="1" t="s">
        <v>954</v>
      </c>
      <c r="B4" s="3">
        <v>1E-3</v>
      </c>
      <c r="C4" s="3">
        <v>1</v>
      </c>
    </row>
    <row r="5" spans="1:3" x14ac:dyDescent="0.2">
      <c r="A5" s="1" t="s">
        <v>955</v>
      </c>
      <c r="B5" s="3" t="s">
        <v>174</v>
      </c>
      <c r="C5" s="3" t="s">
        <v>139</v>
      </c>
    </row>
    <row r="7" spans="1:3" x14ac:dyDescent="0.2">
      <c r="A7" s="1" t="s">
        <v>759</v>
      </c>
      <c r="B7" s="3" t="s">
        <v>155</v>
      </c>
    </row>
    <row r="8" spans="1:3" x14ac:dyDescent="0.2">
      <c r="A8" s="1" t="s">
        <v>977</v>
      </c>
      <c r="B8" s="11" t="s">
        <v>175</v>
      </c>
    </row>
    <row r="9" spans="1:3" x14ac:dyDescent="0.2">
      <c r="B9" s="3" t="s">
        <v>188</v>
      </c>
    </row>
    <row r="10" spans="1:3" x14ac:dyDescent="0.2">
      <c r="B10" s="3">
        <v>3.8E-3</v>
      </c>
      <c r="C10" s="3">
        <v>3.8</v>
      </c>
    </row>
    <row r="11" spans="1:3" x14ac:dyDescent="0.2">
      <c r="C11" s="3" t="s">
        <v>139</v>
      </c>
    </row>
    <row r="12" spans="1:3" x14ac:dyDescent="0.2">
      <c r="A12" s="1" t="s">
        <v>759</v>
      </c>
      <c r="B12" s="3" t="s">
        <v>189</v>
      </c>
    </row>
    <row r="13" spans="1:3" x14ac:dyDescent="0.2">
      <c r="A13" s="1" t="s">
        <v>977</v>
      </c>
      <c r="B13" s="3" t="s">
        <v>190</v>
      </c>
      <c r="C13" s="1" t="s">
        <v>793</v>
      </c>
    </row>
    <row r="14" spans="1:3" x14ac:dyDescent="0.2">
      <c r="A14" s="1" t="s">
        <v>614</v>
      </c>
      <c r="B14" s="1" t="s">
        <v>191</v>
      </c>
    </row>
    <row r="15" spans="1:3" x14ac:dyDescent="0.2">
      <c r="A15" s="1" t="s">
        <v>954</v>
      </c>
      <c r="B15" s="3">
        <v>1.1000000000000001</v>
      </c>
      <c r="C15" s="1">
        <v>1.1000000000000001</v>
      </c>
    </row>
    <row r="16" spans="1:3" x14ac:dyDescent="0.2">
      <c r="A16" s="1" t="s">
        <v>955</v>
      </c>
      <c r="B16" s="3" t="s">
        <v>192</v>
      </c>
      <c r="C16" s="3" t="s">
        <v>193</v>
      </c>
    </row>
    <row r="18" spans="1:11" x14ac:dyDescent="0.2">
      <c r="A18" s="3" t="s">
        <v>759</v>
      </c>
    </row>
    <row r="19" spans="1:11" x14ac:dyDescent="0.2">
      <c r="A19" s="3" t="s">
        <v>962</v>
      </c>
    </row>
    <row r="20" spans="1:11" x14ac:dyDescent="0.2">
      <c r="C20" s="3" t="s">
        <v>113</v>
      </c>
      <c r="D20" s="3" t="s">
        <v>114</v>
      </c>
      <c r="E20" s="3" t="s">
        <v>115</v>
      </c>
      <c r="F20" s="3" t="s">
        <v>116</v>
      </c>
      <c r="G20" s="3" t="s">
        <v>117</v>
      </c>
      <c r="H20" s="3" t="s">
        <v>114</v>
      </c>
      <c r="I20" s="3" t="s">
        <v>118</v>
      </c>
      <c r="J20" s="3" t="s">
        <v>116</v>
      </c>
      <c r="K20" s="3" t="s">
        <v>119</v>
      </c>
    </row>
    <row r="21" spans="1:11" x14ac:dyDescent="0.2">
      <c r="B21" s="3" t="s">
        <v>123</v>
      </c>
      <c r="C21" s="3">
        <v>232.9</v>
      </c>
      <c r="E21" s="3">
        <v>241</v>
      </c>
      <c r="G21" s="3">
        <f>C21*1000000</f>
        <v>232900000</v>
      </c>
      <c r="I21" s="3">
        <f>E21*1000000</f>
        <v>241000000</v>
      </c>
      <c r="K21" s="1">
        <f>I21/G21</f>
        <v>1.0347788750536711</v>
      </c>
    </row>
    <row r="23" spans="1:11" x14ac:dyDescent="0.2">
      <c r="A23" s="3" t="s">
        <v>845</v>
      </c>
      <c r="B23" s="3" t="s">
        <v>131</v>
      </c>
    </row>
    <row r="24" spans="1:11" x14ac:dyDescent="0.2">
      <c r="A24" s="3" t="s">
        <v>132</v>
      </c>
      <c r="B24" s="3" t="s">
        <v>133</v>
      </c>
    </row>
    <row r="25" spans="1:11" x14ac:dyDescent="0.2">
      <c r="A25" s="3" t="s">
        <v>134</v>
      </c>
      <c r="B25" s="3" t="s">
        <v>135</v>
      </c>
    </row>
    <row r="26" spans="1:11" x14ac:dyDescent="0.2">
      <c r="B26" s="3" t="s">
        <v>136</v>
      </c>
      <c r="C26" s="3" t="s">
        <v>137</v>
      </c>
      <c r="D26" s="3" t="s">
        <v>138</v>
      </c>
      <c r="E26" s="3" t="s">
        <v>194</v>
      </c>
    </row>
    <row r="27" spans="1:11" x14ac:dyDescent="0.2">
      <c r="B27" s="3" t="s">
        <v>143</v>
      </c>
      <c r="C27" s="3">
        <v>7.8E-2</v>
      </c>
      <c r="D27" s="3">
        <v>0.03</v>
      </c>
      <c r="E27" s="1">
        <v>0.78</v>
      </c>
    </row>
    <row r="28" spans="1:11" x14ac:dyDescent="0.2">
      <c r="B28" s="3" t="s">
        <v>69</v>
      </c>
      <c r="C28" s="3">
        <v>4.9000000000000002E-2</v>
      </c>
      <c r="D28" s="3">
        <v>0.01</v>
      </c>
      <c r="E28" s="1">
        <v>0.49</v>
      </c>
    </row>
    <row r="30" spans="1:11" x14ac:dyDescent="0.2">
      <c r="B30" s="3" t="s">
        <v>144</v>
      </c>
    </row>
    <row r="31" spans="1:11" x14ac:dyDescent="0.2">
      <c r="B31" s="3" t="s">
        <v>136</v>
      </c>
      <c r="C31" s="3" t="s">
        <v>186</v>
      </c>
    </row>
    <row r="32" spans="1:11" x14ac:dyDescent="0.2">
      <c r="B32" s="3" t="s">
        <v>143</v>
      </c>
      <c r="C32" s="3">
        <v>89</v>
      </c>
    </row>
    <row r="33" spans="2:3" x14ac:dyDescent="0.2">
      <c r="B33" s="3" t="s">
        <v>69</v>
      </c>
      <c r="C33" s="3">
        <v>105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E23"/>
  <sheetViews>
    <sheetView workbookViewId="0"/>
  </sheetViews>
  <sheetFormatPr baseColWidth="10" defaultColWidth="11.42578125" defaultRowHeight="12.75" x14ac:dyDescent="0.2"/>
  <sheetData>
    <row r="1" spans="1:5" x14ac:dyDescent="0.2">
      <c r="A1" s="3" t="s">
        <v>759</v>
      </c>
      <c r="B1" s="3" t="s">
        <v>195</v>
      </c>
    </row>
    <row r="3" spans="1:5" x14ac:dyDescent="0.2">
      <c r="A3" s="4" t="s">
        <v>614</v>
      </c>
      <c r="B3" s="4" t="s">
        <v>196</v>
      </c>
      <c r="C3" s="4"/>
      <c r="D3" s="4"/>
      <c r="E3" s="4"/>
    </row>
    <row r="4" spans="1:5" x14ac:dyDescent="0.2">
      <c r="A4" s="4" t="s">
        <v>954</v>
      </c>
      <c r="B4" s="4">
        <v>1</v>
      </c>
      <c r="C4" s="4"/>
      <c r="D4" s="4"/>
      <c r="E4" s="4"/>
    </row>
    <row r="5" spans="1:5" x14ac:dyDescent="0.2">
      <c r="A5" s="4" t="s">
        <v>955</v>
      </c>
      <c r="B5" s="4" t="s">
        <v>973</v>
      </c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x14ac:dyDescent="0.2">
      <c r="A7" s="4" t="s">
        <v>614</v>
      </c>
      <c r="B7" s="4" t="s">
        <v>197</v>
      </c>
      <c r="C7" s="4"/>
      <c r="D7" s="4"/>
      <c r="E7" s="4"/>
    </row>
    <row r="8" spans="1:5" x14ac:dyDescent="0.2">
      <c r="A8" s="4" t="s">
        <v>954</v>
      </c>
      <c r="B8" s="4">
        <v>0.15</v>
      </c>
      <c r="C8" s="4"/>
      <c r="D8" s="4"/>
      <c r="E8" s="4"/>
    </row>
    <row r="9" spans="1:5" x14ac:dyDescent="0.2">
      <c r="A9" s="4" t="s">
        <v>955</v>
      </c>
      <c r="B9" s="4" t="s">
        <v>973</v>
      </c>
      <c r="C9" s="4"/>
      <c r="D9" s="4"/>
      <c r="E9" s="4"/>
    </row>
    <row r="11" spans="1:5" x14ac:dyDescent="0.2">
      <c r="A11" s="4" t="s">
        <v>759</v>
      </c>
      <c r="B11" s="4" t="s">
        <v>871</v>
      </c>
    </row>
    <row r="12" spans="1:5" x14ac:dyDescent="0.2">
      <c r="A12" s="4" t="s">
        <v>977</v>
      </c>
      <c r="B12" s="4" t="s">
        <v>43</v>
      </c>
    </row>
    <row r="13" spans="1:5" x14ac:dyDescent="0.2">
      <c r="A13" s="4" t="s">
        <v>614</v>
      </c>
      <c r="B13" s="4" t="s">
        <v>198</v>
      </c>
    </row>
    <row r="14" spans="1:5" x14ac:dyDescent="0.2">
      <c r="A14" s="4" t="s">
        <v>954</v>
      </c>
      <c r="B14" s="4">
        <v>0.7</v>
      </c>
    </row>
    <row r="15" spans="1:5" x14ac:dyDescent="0.2">
      <c r="A15" s="4" t="s">
        <v>955</v>
      </c>
      <c r="B15" s="4" t="s">
        <v>973</v>
      </c>
    </row>
    <row r="16" spans="1:5" x14ac:dyDescent="0.2">
      <c r="A16" s="4"/>
      <c r="B16" s="4"/>
    </row>
    <row r="17" spans="1:2" x14ac:dyDescent="0.2">
      <c r="A17" s="4" t="s">
        <v>614</v>
      </c>
      <c r="B17" s="4" t="s">
        <v>199</v>
      </c>
    </row>
    <row r="18" spans="1:2" x14ac:dyDescent="0.2">
      <c r="A18" s="4" t="s">
        <v>954</v>
      </c>
      <c r="B18" s="4">
        <v>0.1</v>
      </c>
    </row>
    <row r="19" spans="1:2" x14ac:dyDescent="0.2">
      <c r="A19" s="4" t="s">
        <v>955</v>
      </c>
      <c r="B19" s="4" t="s">
        <v>973</v>
      </c>
    </row>
    <row r="23" spans="1:2" x14ac:dyDescent="0.2">
      <c r="A23" s="66" t="s">
        <v>927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P29"/>
  <sheetViews>
    <sheetView topLeftCell="C1" workbookViewId="0">
      <selection activeCell="C35" sqref="C35"/>
    </sheetView>
  </sheetViews>
  <sheetFormatPr baseColWidth="10" defaultColWidth="11.42578125" defaultRowHeight="12.75" x14ac:dyDescent="0.2"/>
  <sheetData>
    <row r="1" spans="1:16" x14ac:dyDescent="0.2">
      <c r="A1" s="3" t="s">
        <v>200</v>
      </c>
    </row>
    <row r="2" spans="1:16" x14ac:dyDescent="0.2">
      <c r="A2" s="3" t="s">
        <v>201</v>
      </c>
    </row>
    <row r="4" spans="1:16" x14ac:dyDescent="0.2">
      <c r="A4" s="3" t="s">
        <v>202</v>
      </c>
    </row>
    <row r="5" spans="1:16" x14ac:dyDescent="0.2">
      <c r="A5" s="3" t="s">
        <v>203</v>
      </c>
    </row>
    <row r="6" spans="1:16" x14ac:dyDescent="0.2">
      <c r="A6" s="3" t="s">
        <v>204</v>
      </c>
    </row>
    <row r="7" spans="1:16" x14ac:dyDescent="0.2">
      <c r="A7" s="3" t="s">
        <v>205</v>
      </c>
      <c r="B7" s="3" t="s">
        <v>206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6" x14ac:dyDescent="0.2">
      <c r="A8" s="3" t="s">
        <v>207</v>
      </c>
      <c r="B8" s="3" t="s">
        <v>207</v>
      </c>
      <c r="C8" s="3" t="s">
        <v>207</v>
      </c>
      <c r="D8" s="3" t="s">
        <v>207</v>
      </c>
      <c r="E8" s="3" t="s">
        <v>207</v>
      </c>
      <c r="F8" s="3" t="s">
        <v>207</v>
      </c>
      <c r="G8" s="3" t="s">
        <v>208</v>
      </c>
      <c r="H8" s="3" t="s">
        <v>209</v>
      </c>
      <c r="I8" s="3" t="s">
        <v>210</v>
      </c>
      <c r="J8" s="3" t="s">
        <v>207</v>
      </c>
      <c r="K8" s="3" t="s">
        <v>211</v>
      </c>
      <c r="L8" s="3" t="s">
        <v>212</v>
      </c>
    </row>
    <row r="9" spans="1:16" ht="25.5" x14ac:dyDescent="0.2">
      <c r="A9" s="3" t="s">
        <v>213</v>
      </c>
      <c r="B9" s="3" t="s">
        <v>214</v>
      </c>
      <c r="C9" s="3" t="s">
        <v>215</v>
      </c>
      <c r="D9" s="3" t="s">
        <v>216</v>
      </c>
      <c r="E9" s="3" t="s">
        <v>217</v>
      </c>
      <c r="F9" s="3" t="s">
        <v>218</v>
      </c>
      <c r="G9" s="3" t="s">
        <v>219</v>
      </c>
      <c r="H9" s="3" t="s">
        <v>219</v>
      </c>
      <c r="I9" s="3" t="s">
        <v>219</v>
      </c>
      <c r="J9" s="3" t="s">
        <v>220</v>
      </c>
      <c r="K9" s="3" t="s">
        <v>221</v>
      </c>
      <c r="L9" s="3" t="s">
        <v>222</v>
      </c>
      <c r="N9" s="5" t="s">
        <v>223</v>
      </c>
      <c r="O9" s="3" t="s">
        <v>224</v>
      </c>
      <c r="P9" s="1" t="s">
        <v>225</v>
      </c>
    </row>
    <row r="10" spans="1:16" x14ac:dyDescent="0.2">
      <c r="A10" s="3" t="s">
        <v>207</v>
      </c>
      <c r="B10" s="3" t="s">
        <v>207</v>
      </c>
      <c r="C10" s="3" t="s">
        <v>207</v>
      </c>
      <c r="D10" s="3" t="s">
        <v>207</v>
      </c>
      <c r="E10" s="3" t="s">
        <v>207</v>
      </c>
      <c r="F10" s="3" t="s">
        <v>226</v>
      </c>
      <c r="G10" s="3" t="s">
        <v>227</v>
      </c>
      <c r="H10" s="3" t="s">
        <v>228</v>
      </c>
      <c r="I10" s="3" t="s">
        <v>229</v>
      </c>
      <c r="J10" s="3" t="s">
        <v>207</v>
      </c>
      <c r="K10" s="3" t="s">
        <v>230</v>
      </c>
      <c r="L10" s="3" t="s">
        <v>207</v>
      </c>
      <c r="O10" s="3" t="s">
        <v>231</v>
      </c>
      <c r="P10" s="1" t="s">
        <v>704</v>
      </c>
    </row>
    <row r="11" spans="1:16" x14ac:dyDescent="0.2">
      <c r="A11" s="3" t="s">
        <v>207</v>
      </c>
      <c r="B11" s="3" t="s">
        <v>207</v>
      </c>
      <c r="C11" s="3" t="s">
        <v>207</v>
      </c>
      <c r="D11" s="3" t="s">
        <v>207</v>
      </c>
      <c r="E11" s="3" t="s">
        <v>207</v>
      </c>
      <c r="F11" s="3" t="s">
        <v>207</v>
      </c>
      <c r="G11" s="3" t="s">
        <v>232</v>
      </c>
      <c r="H11" s="3" t="s">
        <v>207</v>
      </c>
      <c r="I11" s="3" t="s">
        <v>207</v>
      </c>
      <c r="J11" s="3" t="s">
        <v>207</v>
      </c>
      <c r="K11" s="3" t="s">
        <v>207</v>
      </c>
      <c r="L11" s="3" t="s">
        <v>207</v>
      </c>
    </row>
    <row r="12" spans="1:16" x14ac:dyDescent="0.2">
      <c r="A12" s="3" t="s">
        <v>233</v>
      </c>
      <c r="B12" s="3" t="s">
        <v>234</v>
      </c>
      <c r="C12" s="3" t="s">
        <v>235</v>
      </c>
      <c r="D12" s="3" t="s">
        <v>236</v>
      </c>
      <c r="E12" s="3" t="s">
        <v>237</v>
      </c>
      <c r="F12" s="3" t="s">
        <v>238</v>
      </c>
      <c r="G12" s="3" t="s">
        <v>239</v>
      </c>
      <c r="H12" s="3" t="s">
        <v>240</v>
      </c>
      <c r="I12" s="3" t="s">
        <v>241</v>
      </c>
      <c r="J12" s="3" t="s">
        <v>242</v>
      </c>
      <c r="K12" s="3" t="s">
        <v>243</v>
      </c>
      <c r="L12" s="3" t="s">
        <v>244</v>
      </c>
      <c r="N12" s="3">
        <v>19.420000000000002</v>
      </c>
      <c r="O12" s="65">
        <v>0.29500227859638467</v>
      </c>
      <c r="P12" s="61">
        <v>0.57209062821833156</v>
      </c>
    </row>
    <row r="13" spans="1:16" x14ac:dyDescent="0.2">
      <c r="A13" s="3" t="s">
        <v>245</v>
      </c>
      <c r="B13" s="3" t="s">
        <v>246</v>
      </c>
      <c r="C13" s="3" t="s">
        <v>247</v>
      </c>
      <c r="D13" s="3" t="s">
        <v>248</v>
      </c>
      <c r="E13" s="3" t="s">
        <v>249</v>
      </c>
      <c r="F13" s="3" t="s">
        <v>250</v>
      </c>
      <c r="G13" s="3" t="s">
        <v>251</v>
      </c>
      <c r="H13" s="3" t="s">
        <v>252</v>
      </c>
      <c r="I13" s="3" t="s">
        <v>253</v>
      </c>
      <c r="J13" s="3" t="s">
        <v>254</v>
      </c>
      <c r="K13" s="3" t="s">
        <v>255</v>
      </c>
      <c r="L13" s="3" t="s">
        <v>256</v>
      </c>
      <c r="N13" s="3">
        <v>16.91</v>
      </c>
      <c r="O13" s="65">
        <v>0.2119047619047619</v>
      </c>
      <c r="P13" s="61">
        <v>0.49615612063867537</v>
      </c>
    </row>
    <row r="14" spans="1:16" x14ac:dyDescent="0.2">
      <c r="A14" s="3" t="s">
        <v>257</v>
      </c>
      <c r="B14" s="3" t="s">
        <v>258</v>
      </c>
      <c r="C14" s="3" t="s">
        <v>259</v>
      </c>
      <c r="D14" s="3" t="s">
        <v>260</v>
      </c>
      <c r="E14" s="3" t="s">
        <v>261</v>
      </c>
      <c r="F14" s="3" t="s">
        <v>262</v>
      </c>
      <c r="G14" s="3" t="s">
        <v>263</v>
      </c>
      <c r="H14" s="3" t="s">
        <v>264</v>
      </c>
      <c r="I14" s="3" t="s">
        <v>265</v>
      </c>
      <c r="J14" s="3" t="s">
        <v>266</v>
      </c>
      <c r="K14" s="3" t="s">
        <v>267</v>
      </c>
      <c r="L14" s="3" t="s">
        <v>268</v>
      </c>
      <c r="N14" s="3">
        <v>18.489999999999998</v>
      </c>
      <c r="O14" s="65">
        <v>0.16946201081477411</v>
      </c>
      <c r="P14" s="61">
        <v>0.4997295835586803</v>
      </c>
    </row>
    <row r="15" spans="1:16" x14ac:dyDescent="0.2">
      <c r="A15" s="3" t="s">
        <v>269</v>
      </c>
      <c r="B15" s="3" t="s">
        <v>270</v>
      </c>
      <c r="C15" s="3" t="s">
        <v>271</v>
      </c>
      <c r="D15" s="3" t="s">
        <v>272</v>
      </c>
      <c r="E15" s="3" t="s">
        <v>273</v>
      </c>
      <c r="F15" s="3" t="s">
        <v>274</v>
      </c>
      <c r="G15" s="3" t="s">
        <v>275</v>
      </c>
      <c r="H15" s="3" t="s">
        <v>276</v>
      </c>
      <c r="I15" s="3" t="s">
        <v>277</v>
      </c>
      <c r="J15" s="3" t="s">
        <v>278</v>
      </c>
      <c r="K15" s="3" t="s">
        <v>279</v>
      </c>
      <c r="L15" s="3" t="s">
        <v>280</v>
      </c>
      <c r="N15" s="3">
        <v>22.75</v>
      </c>
      <c r="O15" s="65">
        <v>0.18885937240577785</v>
      </c>
      <c r="P15" s="61">
        <v>0.5252747252747253</v>
      </c>
    </row>
    <row r="16" spans="1:16" x14ac:dyDescent="0.2">
      <c r="O16" s="67">
        <f>AVERAGE(O12:O15)</f>
        <v>0.21630710593042463</v>
      </c>
      <c r="P16" s="67">
        <f>AVERAGE(P12:P15)</f>
        <v>0.5233127644226031</v>
      </c>
    </row>
    <row r="18" spans="1:7" s="69" customFormat="1" ht="15" x14ac:dyDescent="0.25">
      <c r="A18" s="68" t="s">
        <v>930</v>
      </c>
    </row>
    <row r="19" spans="1:7" s="69" customFormat="1" ht="15" x14ac:dyDescent="0.25">
      <c r="F19" s="70" t="s">
        <v>702</v>
      </c>
      <c r="G19" s="70" t="s">
        <v>704</v>
      </c>
    </row>
    <row r="20" spans="1:7" s="69" customFormat="1" ht="15" x14ac:dyDescent="0.25">
      <c r="A20" s="71" t="s">
        <v>931</v>
      </c>
      <c r="B20" s="69" t="s">
        <v>932</v>
      </c>
      <c r="C20" s="69" t="s">
        <v>141</v>
      </c>
      <c r="D20" s="69" t="s">
        <v>933</v>
      </c>
      <c r="E20" s="69" t="s">
        <v>934</v>
      </c>
      <c r="F20" s="69" t="s">
        <v>935</v>
      </c>
      <c r="G20" s="69" t="s">
        <v>936</v>
      </c>
    </row>
    <row r="21" spans="1:7" s="69" customFormat="1" ht="15" x14ac:dyDescent="0.25">
      <c r="A21" s="69" t="s">
        <v>937</v>
      </c>
      <c r="B21" s="69">
        <v>2.6</v>
      </c>
      <c r="C21" s="69">
        <v>0.41</v>
      </c>
      <c r="D21" s="69">
        <v>0.38</v>
      </c>
      <c r="E21" s="69">
        <f t="shared" ref="E21:E28" si="0">C21+D21</f>
        <v>0.79</v>
      </c>
      <c r="F21" s="69">
        <f t="shared" ref="F21:F28" si="1">E21/B21</f>
        <v>0.30384615384615388</v>
      </c>
      <c r="G21" s="69">
        <f t="shared" ref="G21:G28" si="2">D21/E21</f>
        <v>0.48101265822784811</v>
      </c>
    </row>
    <row r="22" spans="1:7" s="69" customFormat="1" ht="15" x14ac:dyDescent="0.25">
      <c r="A22" s="69" t="s">
        <v>938</v>
      </c>
      <c r="B22" s="69">
        <v>4.5</v>
      </c>
      <c r="C22" s="69">
        <v>0.5</v>
      </c>
      <c r="D22" s="69">
        <v>0.56999999999999995</v>
      </c>
      <c r="E22" s="69">
        <f t="shared" si="0"/>
        <v>1.0699999999999998</v>
      </c>
      <c r="F22" s="69">
        <f t="shared" si="1"/>
        <v>0.23777777777777775</v>
      </c>
      <c r="G22" s="69">
        <f t="shared" si="2"/>
        <v>0.53271028037383183</v>
      </c>
    </row>
    <row r="23" spans="1:7" s="69" customFormat="1" ht="15" x14ac:dyDescent="0.25">
      <c r="A23" s="69" t="s">
        <v>939</v>
      </c>
      <c r="B23" s="69">
        <v>3.26</v>
      </c>
      <c r="C23" s="69">
        <v>0.54</v>
      </c>
      <c r="D23" s="69">
        <v>0.93</v>
      </c>
      <c r="E23" s="69">
        <f t="shared" si="0"/>
        <v>1.4700000000000002</v>
      </c>
      <c r="F23" s="69">
        <f t="shared" si="1"/>
        <v>0.45092024539877312</v>
      </c>
      <c r="G23" s="69">
        <f t="shared" si="2"/>
        <v>0.63265306122448972</v>
      </c>
    </row>
    <row r="24" spans="1:7" s="69" customFormat="1" ht="15" x14ac:dyDescent="0.25">
      <c r="A24" s="69" t="s">
        <v>940</v>
      </c>
      <c r="B24" s="69">
        <v>4</v>
      </c>
      <c r="C24" s="69">
        <v>0.67</v>
      </c>
      <c r="D24" s="69">
        <v>0.99</v>
      </c>
      <c r="E24" s="69">
        <f t="shared" si="0"/>
        <v>1.6600000000000001</v>
      </c>
      <c r="F24" s="69">
        <f t="shared" si="1"/>
        <v>0.41500000000000004</v>
      </c>
      <c r="G24" s="69">
        <f t="shared" si="2"/>
        <v>0.59638554216867468</v>
      </c>
    </row>
    <row r="25" spans="1:7" s="69" customFormat="1" ht="15" x14ac:dyDescent="0.25">
      <c r="A25" s="69" t="s">
        <v>941</v>
      </c>
      <c r="B25" s="69">
        <v>3.69</v>
      </c>
      <c r="C25" s="69">
        <v>0.22</v>
      </c>
      <c r="D25" s="69">
        <v>0.48</v>
      </c>
      <c r="E25" s="69">
        <f t="shared" si="0"/>
        <v>0.7</v>
      </c>
      <c r="F25" s="69">
        <f t="shared" si="1"/>
        <v>0.18970189701897017</v>
      </c>
      <c r="G25" s="69">
        <f t="shared" si="2"/>
        <v>0.68571428571428572</v>
      </c>
    </row>
    <row r="26" spans="1:7" s="69" customFormat="1" ht="15" x14ac:dyDescent="0.25">
      <c r="A26" s="69" t="s">
        <v>942</v>
      </c>
      <c r="B26" s="69">
        <v>4.51</v>
      </c>
      <c r="C26" s="69">
        <v>0.27</v>
      </c>
      <c r="D26" s="69">
        <v>0.53</v>
      </c>
      <c r="E26" s="69">
        <f t="shared" si="0"/>
        <v>0.8</v>
      </c>
      <c r="F26" s="69">
        <f t="shared" si="1"/>
        <v>0.17738359201773837</v>
      </c>
      <c r="G26" s="69">
        <f t="shared" si="2"/>
        <v>0.66249999999999998</v>
      </c>
    </row>
    <row r="27" spans="1:7" s="69" customFormat="1" ht="15" x14ac:dyDescent="0.25">
      <c r="A27" s="69" t="s">
        <v>943</v>
      </c>
      <c r="B27" s="69">
        <v>5.21</v>
      </c>
      <c r="C27" s="69">
        <v>0.35</v>
      </c>
      <c r="D27" s="69">
        <v>1.28</v>
      </c>
      <c r="E27" s="69">
        <f t="shared" si="0"/>
        <v>1.63</v>
      </c>
      <c r="F27" s="69">
        <f t="shared" si="1"/>
        <v>0.31285988483685218</v>
      </c>
      <c r="G27" s="69">
        <f t="shared" si="2"/>
        <v>0.78527607361963192</v>
      </c>
    </row>
    <row r="28" spans="1:7" s="69" customFormat="1" ht="15" x14ac:dyDescent="0.25">
      <c r="A28" s="69" t="s">
        <v>944</v>
      </c>
      <c r="B28" s="69">
        <v>6.34</v>
      </c>
      <c r="C28" s="69">
        <v>0.42</v>
      </c>
      <c r="D28" s="69">
        <v>1.49</v>
      </c>
      <c r="E28" s="69">
        <f t="shared" si="0"/>
        <v>1.91</v>
      </c>
      <c r="F28" s="69">
        <f t="shared" si="1"/>
        <v>0.30126182965299686</v>
      </c>
      <c r="G28" s="69">
        <f t="shared" si="2"/>
        <v>0.78010471204188481</v>
      </c>
    </row>
    <row r="29" spans="1:7" s="69" customFormat="1" ht="15" x14ac:dyDescent="0.25">
      <c r="F29" s="72">
        <f>AVERAGE(F21:F28)</f>
        <v>0.2985939225686578</v>
      </c>
      <c r="G29" s="72">
        <f>AVERAGE(G21:G28)</f>
        <v>0.64454457667133092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E66"/>
  <sheetViews>
    <sheetView workbookViewId="0"/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195</v>
      </c>
    </row>
    <row r="3" spans="1:2" x14ac:dyDescent="0.2">
      <c r="A3" s="3" t="s">
        <v>614</v>
      </c>
      <c r="B3" s="3" t="s">
        <v>281</v>
      </c>
    </row>
    <row r="4" spans="1:2" x14ac:dyDescent="0.2">
      <c r="A4" s="3" t="s">
        <v>954</v>
      </c>
      <c r="B4" s="1">
        <v>0.5</v>
      </c>
    </row>
    <row r="5" spans="1:2" x14ac:dyDescent="0.2">
      <c r="A5" s="3" t="s">
        <v>955</v>
      </c>
      <c r="B5" s="3" t="s">
        <v>282</v>
      </c>
    </row>
    <row r="9" spans="1:2" x14ac:dyDescent="0.2">
      <c r="A9" s="3" t="s">
        <v>759</v>
      </c>
      <c r="B9" s="3" t="s">
        <v>283</v>
      </c>
    </row>
    <row r="10" spans="1:2" x14ac:dyDescent="0.2">
      <c r="A10" s="3" t="s">
        <v>977</v>
      </c>
      <c r="B10" s="3" t="s">
        <v>43</v>
      </c>
    </row>
    <row r="11" spans="1:2" x14ac:dyDescent="0.2">
      <c r="A11" s="3" t="s">
        <v>614</v>
      </c>
      <c r="B11" s="3" t="s">
        <v>284</v>
      </c>
    </row>
    <row r="12" spans="1:2" x14ac:dyDescent="0.2">
      <c r="A12" s="3" t="s">
        <v>954</v>
      </c>
      <c r="B12" s="3">
        <v>0.48</v>
      </c>
    </row>
    <row r="13" spans="1:2" x14ac:dyDescent="0.2">
      <c r="A13" s="3" t="s">
        <v>955</v>
      </c>
      <c r="B13" s="3" t="s">
        <v>282</v>
      </c>
    </row>
    <row r="15" spans="1:2" x14ac:dyDescent="0.2">
      <c r="A15" s="3" t="s">
        <v>614</v>
      </c>
      <c r="B15" s="3" t="s">
        <v>285</v>
      </c>
    </row>
    <row r="16" spans="1:2" x14ac:dyDescent="0.2">
      <c r="A16" s="3" t="s">
        <v>954</v>
      </c>
      <c r="B16" s="3">
        <v>0.52</v>
      </c>
    </row>
    <row r="17" spans="1:3" x14ac:dyDescent="0.2">
      <c r="A17" s="3" t="s">
        <v>955</v>
      </c>
      <c r="B17" s="3" t="s">
        <v>282</v>
      </c>
    </row>
    <row r="20" spans="1:3" x14ac:dyDescent="0.2">
      <c r="A20" s="3" t="s">
        <v>759</v>
      </c>
      <c r="B20" s="3" t="s">
        <v>980</v>
      </c>
    </row>
    <row r="21" spans="1:3" x14ac:dyDescent="0.2">
      <c r="A21" s="3" t="s">
        <v>614</v>
      </c>
      <c r="B21" s="3" t="s">
        <v>286</v>
      </c>
    </row>
    <row r="22" spans="1:3" x14ac:dyDescent="0.2">
      <c r="A22" s="3" t="s">
        <v>954</v>
      </c>
      <c r="B22" s="3">
        <v>500</v>
      </c>
      <c r="C22" s="1">
        <v>0.5</v>
      </c>
    </row>
    <row r="23" spans="1:3" x14ac:dyDescent="0.2">
      <c r="A23" s="3" t="s">
        <v>955</v>
      </c>
      <c r="B23" s="3" t="s">
        <v>287</v>
      </c>
      <c r="C23" s="3" t="s">
        <v>288</v>
      </c>
    </row>
    <row r="25" spans="1:3" x14ac:dyDescent="0.2">
      <c r="A25" s="1" t="s">
        <v>759</v>
      </c>
      <c r="B25" s="3" t="s">
        <v>289</v>
      </c>
    </row>
    <row r="26" spans="1:3" x14ac:dyDescent="0.2">
      <c r="A26" s="1" t="s">
        <v>614</v>
      </c>
      <c r="B26" s="3" t="s">
        <v>290</v>
      </c>
    </row>
    <row r="27" spans="1:3" x14ac:dyDescent="0.2">
      <c r="A27" s="1" t="s">
        <v>954</v>
      </c>
      <c r="B27" s="1">
        <v>0.5</v>
      </c>
    </row>
    <row r="28" spans="1:3" x14ac:dyDescent="0.2">
      <c r="A28" s="1" t="s">
        <v>955</v>
      </c>
      <c r="B28" s="19" t="s">
        <v>287</v>
      </c>
    </row>
    <row r="29" spans="1:3" x14ac:dyDescent="0.2">
      <c r="B29" s="1" t="s">
        <v>291</v>
      </c>
    </row>
    <row r="30" spans="1:3" x14ac:dyDescent="0.2">
      <c r="B30" s="3" t="s">
        <v>292</v>
      </c>
    </row>
    <row r="32" spans="1:3" x14ac:dyDescent="0.2">
      <c r="A32" s="1" t="s">
        <v>759</v>
      </c>
      <c r="B32" s="3" t="s">
        <v>293</v>
      </c>
    </row>
    <row r="33" spans="1:5" x14ac:dyDescent="0.2">
      <c r="A33" s="1" t="s">
        <v>977</v>
      </c>
      <c r="B33" s="1" t="s">
        <v>294</v>
      </c>
    </row>
    <row r="34" spans="1:5" x14ac:dyDescent="0.2">
      <c r="A34" s="1" t="s">
        <v>614</v>
      </c>
      <c r="B34" s="3" t="s">
        <v>295</v>
      </c>
    </row>
    <row r="35" spans="1:5" x14ac:dyDescent="0.2">
      <c r="A35" s="1" t="s">
        <v>954</v>
      </c>
      <c r="B35" s="1">
        <v>0.5</v>
      </c>
    </row>
    <row r="36" spans="1:5" x14ac:dyDescent="0.2">
      <c r="A36" s="1" t="s">
        <v>955</v>
      </c>
      <c r="B36" s="3" t="s">
        <v>282</v>
      </c>
    </row>
    <row r="38" spans="1:5" x14ac:dyDescent="0.2">
      <c r="A38" s="1" t="s">
        <v>759</v>
      </c>
      <c r="B38" s="3" t="s">
        <v>293</v>
      </c>
    </row>
    <row r="39" spans="1:5" x14ac:dyDescent="0.2">
      <c r="A39" s="1" t="s">
        <v>977</v>
      </c>
      <c r="B39" s="1" t="s">
        <v>296</v>
      </c>
    </row>
    <row r="40" spans="1:5" x14ac:dyDescent="0.2">
      <c r="A40" s="1" t="s">
        <v>614</v>
      </c>
      <c r="B40" s="3" t="s">
        <v>295</v>
      </c>
    </row>
    <row r="41" spans="1:5" x14ac:dyDescent="0.2">
      <c r="A41" s="1" t="s">
        <v>954</v>
      </c>
      <c r="B41" s="3">
        <v>0.65500000000000003</v>
      </c>
    </row>
    <row r="42" spans="1:5" x14ac:dyDescent="0.2">
      <c r="A42" s="1" t="s">
        <v>955</v>
      </c>
      <c r="B42" s="3" t="s">
        <v>282</v>
      </c>
    </row>
    <row r="43" spans="1:5" x14ac:dyDescent="0.2">
      <c r="B43" s="3" t="s">
        <v>297</v>
      </c>
    </row>
    <row r="44" spans="1:5" x14ac:dyDescent="0.2">
      <c r="A44" s="1" t="s">
        <v>759</v>
      </c>
      <c r="B44" s="3" t="s">
        <v>298</v>
      </c>
    </row>
    <row r="45" spans="1:5" x14ac:dyDescent="0.2">
      <c r="A45" s="1" t="s">
        <v>614</v>
      </c>
      <c r="D45" s="3" t="s">
        <v>299</v>
      </c>
      <c r="E45" s="3" t="s">
        <v>300</v>
      </c>
    </row>
    <row r="46" spans="1:5" x14ac:dyDescent="0.2">
      <c r="A46" s="1" t="s">
        <v>955</v>
      </c>
      <c r="D46" s="3" t="s">
        <v>301</v>
      </c>
    </row>
    <row r="47" spans="1:5" x14ac:dyDescent="0.2">
      <c r="A47" s="3" t="s">
        <v>957</v>
      </c>
      <c r="B47" s="3" t="s">
        <v>302</v>
      </c>
      <c r="D47" s="29">
        <v>0.48</v>
      </c>
      <c r="E47" s="3" t="s">
        <v>303</v>
      </c>
    </row>
    <row r="48" spans="1:5" x14ac:dyDescent="0.2">
      <c r="B48" s="3" t="s">
        <v>767</v>
      </c>
      <c r="D48" s="3" t="s">
        <v>304</v>
      </c>
      <c r="E48" s="3" t="s">
        <v>305</v>
      </c>
    </row>
    <row r="49" spans="1:5" x14ac:dyDescent="0.2">
      <c r="B49" s="3" t="s">
        <v>306</v>
      </c>
      <c r="D49" s="3" t="s">
        <v>307</v>
      </c>
      <c r="E49" s="3" t="s">
        <v>303</v>
      </c>
    </row>
    <row r="50" spans="1:5" x14ac:dyDescent="0.2">
      <c r="B50" s="1" t="s">
        <v>793</v>
      </c>
      <c r="D50" s="3" t="s">
        <v>308</v>
      </c>
      <c r="E50" s="3" t="s">
        <v>309</v>
      </c>
    </row>
    <row r="51" spans="1:5" x14ac:dyDescent="0.2">
      <c r="B51" s="3" t="s">
        <v>310</v>
      </c>
      <c r="D51" s="3" t="s">
        <v>311</v>
      </c>
      <c r="E51" s="3" t="s">
        <v>312</v>
      </c>
    </row>
    <row r="52" spans="1:5" x14ac:dyDescent="0.2">
      <c r="B52" s="3" t="s">
        <v>313</v>
      </c>
      <c r="D52" s="3" t="s">
        <v>314</v>
      </c>
      <c r="E52" s="3" t="s">
        <v>312</v>
      </c>
    </row>
    <row r="53" spans="1:5" x14ac:dyDescent="0.2">
      <c r="B53" s="3" t="s">
        <v>825</v>
      </c>
      <c r="D53" s="3" t="s">
        <v>315</v>
      </c>
      <c r="E53" s="3" t="s">
        <v>316</v>
      </c>
    </row>
    <row r="54" spans="1:5" x14ac:dyDescent="0.2">
      <c r="B54" s="1" t="s">
        <v>317</v>
      </c>
      <c r="D54" s="3" t="s">
        <v>318</v>
      </c>
      <c r="E54" s="3" t="s">
        <v>319</v>
      </c>
    </row>
    <row r="55" spans="1:5" x14ac:dyDescent="0.2">
      <c r="B55" s="1" t="s">
        <v>320</v>
      </c>
      <c r="D55" s="3" t="s">
        <v>321</v>
      </c>
      <c r="E55" s="3" t="s">
        <v>322</v>
      </c>
    </row>
    <row r="56" spans="1:5" x14ac:dyDescent="0.2">
      <c r="B56" s="1" t="s">
        <v>323</v>
      </c>
      <c r="D56" s="3" t="s">
        <v>324</v>
      </c>
      <c r="E56" s="3" t="s">
        <v>325</v>
      </c>
    </row>
    <row r="57" spans="1:5" x14ac:dyDescent="0.2">
      <c r="B57" s="3" t="s">
        <v>326</v>
      </c>
      <c r="D57" s="3" t="s">
        <v>327</v>
      </c>
      <c r="E57" s="3" t="s">
        <v>328</v>
      </c>
    </row>
    <row r="59" spans="1:5" x14ac:dyDescent="0.2">
      <c r="B59" s="3" t="s">
        <v>329</v>
      </c>
    </row>
    <row r="61" spans="1:5" x14ac:dyDescent="0.2">
      <c r="A61" s="1" t="s">
        <v>759</v>
      </c>
      <c r="B61" s="3" t="s">
        <v>330</v>
      </c>
    </row>
    <row r="62" spans="1:5" x14ac:dyDescent="0.2">
      <c r="A62" s="1" t="s">
        <v>977</v>
      </c>
      <c r="B62" s="1" t="s">
        <v>291</v>
      </c>
    </row>
    <row r="63" spans="1:5" x14ac:dyDescent="0.2">
      <c r="A63" s="1" t="s">
        <v>614</v>
      </c>
      <c r="B63" s="3" t="s">
        <v>331</v>
      </c>
    </row>
    <row r="64" spans="1:5" x14ac:dyDescent="0.2">
      <c r="A64" s="1" t="s">
        <v>954</v>
      </c>
      <c r="B64" s="1" t="s">
        <v>332</v>
      </c>
    </row>
    <row r="65" spans="1:2" x14ac:dyDescent="0.2">
      <c r="A65" s="1" t="s">
        <v>955</v>
      </c>
      <c r="B65" s="3" t="s">
        <v>333</v>
      </c>
    </row>
    <row r="66" spans="1:2" x14ac:dyDescent="0.2">
      <c r="B66" s="3" t="s">
        <v>297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27" workbookViewId="0">
      <selection activeCell="K58" sqref="K58"/>
    </sheetView>
  </sheetViews>
  <sheetFormatPr baseColWidth="10" defaultColWidth="11.42578125" defaultRowHeight="12.75" x14ac:dyDescent="0.2"/>
  <sheetData>
    <row r="1" spans="1:7" x14ac:dyDescent="0.2">
      <c r="A1" s="4" t="s">
        <v>759</v>
      </c>
      <c r="B1" s="4" t="s">
        <v>334</v>
      </c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 t="s">
        <v>335</v>
      </c>
      <c r="B3" s="4"/>
      <c r="C3" s="4"/>
      <c r="D3" s="4"/>
      <c r="E3" s="4"/>
      <c r="F3" s="4"/>
      <c r="G3" s="4"/>
    </row>
    <row r="4" spans="1:7" x14ac:dyDescent="0.2">
      <c r="A4" s="4" t="s">
        <v>336</v>
      </c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 t="s">
        <v>337</v>
      </c>
      <c r="C6" s="4" t="s">
        <v>338</v>
      </c>
      <c r="D6" s="4" t="s">
        <v>339</v>
      </c>
      <c r="E6" s="4" t="s">
        <v>340</v>
      </c>
      <c r="F6" s="4" t="s">
        <v>341</v>
      </c>
      <c r="G6" s="4"/>
    </row>
    <row r="7" spans="1:7" x14ac:dyDescent="0.2">
      <c r="A7" s="4" t="s">
        <v>342</v>
      </c>
      <c r="B7" s="4">
        <v>-3.96</v>
      </c>
      <c r="C7" s="4">
        <v>-2.621</v>
      </c>
      <c r="D7" s="4">
        <v>-0.78200000000000003</v>
      </c>
      <c r="E7" s="4">
        <v>-1.873</v>
      </c>
      <c r="F7" s="4">
        <v>-2.5550000000000002</v>
      </c>
      <c r="G7" s="4"/>
    </row>
    <row r="8" spans="1:7" x14ac:dyDescent="0.2">
      <c r="A8" s="4" t="s">
        <v>343</v>
      </c>
      <c r="B8" s="4">
        <v>2.0329999999999999</v>
      </c>
      <c r="C8" s="4">
        <v>2.468</v>
      </c>
      <c r="D8" s="4">
        <v>1.2669999999999999</v>
      </c>
      <c r="E8" s="4">
        <v>2.2770000000000001</v>
      </c>
      <c r="F8" s="4">
        <v>1.2030000000000001</v>
      </c>
      <c r="G8" s="4"/>
    </row>
    <row r="9" spans="1:7" x14ac:dyDescent="0.2">
      <c r="A9" s="4" t="s">
        <v>344</v>
      </c>
      <c r="B9" s="4">
        <v>0.87</v>
      </c>
      <c r="C9" s="4">
        <v>0.93</v>
      </c>
      <c r="D9" s="4">
        <v>0.66</v>
      </c>
      <c r="E9" s="4">
        <v>0.93</v>
      </c>
      <c r="F9" s="4">
        <v>0.48</v>
      </c>
      <c r="G9" s="4"/>
    </row>
    <row r="10" spans="1:7" x14ac:dyDescent="0.2">
      <c r="A10" s="4" t="s">
        <v>345</v>
      </c>
      <c r="B10" s="4">
        <v>2.29</v>
      </c>
      <c r="C10" s="4">
        <v>4.97</v>
      </c>
      <c r="D10" s="4">
        <v>3.11</v>
      </c>
      <c r="E10" s="4">
        <v>5.13</v>
      </c>
      <c r="F10" s="4">
        <v>1.1399999999999999</v>
      </c>
      <c r="G10" s="4"/>
    </row>
    <row r="11" spans="1:7" x14ac:dyDescent="0.2">
      <c r="A11" s="4" t="s">
        <v>346</v>
      </c>
      <c r="B11" s="4">
        <v>0.09</v>
      </c>
      <c r="C11" s="4">
        <v>0.02</v>
      </c>
      <c r="D11" s="4">
        <v>0.04</v>
      </c>
      <c r="E11" s="4">
        <v>7.0000000000000007E-2</v>
      </c>
      <c r="F11" s="4">
        <v>0.05</v>
      </c>
      <c r="G11" s="4"/>
    </row>
    <row r="12" spans="1:7" x14ac:dyDescent="0.2">
      <c r="A12" s="4" t="s">
        <v>347</v>
      </c>
      <c r="B12" s="4">
        <v>9</v>
      </c>
      <c r="C12" s="4">
        <v>8</v>
      </c>
      <c r="D12" s="4">
        <v>12</v>
      </c>
      <c r="E12" s="4">
        <v>7</v>
      </c>
      <c r="F12" s="4">
        <v>19</v>
      </c>
      <c r="G12" s="4"/>
    </row>
    <row r="13" spans="1:7" x14ac:dyDescent="0.2">
      <c r="A13" s="4" t="s">
        <v>348</v>
      </c>
      <c r="B13" s="4">
        <v>1.0469999999999999</v>
      </c>
      <c r="C13" s="4">
        <v>1.0329999999999999</v>
      </c>
      <c r="D13" s="4">
        <v>1.0780000000000001</v>
      </c>
      <c r="E13" s="4">
        <v>1.0289999999999999</v>
      </c>
      <c r="F13" s="4">
        <v>1.19</v>
      </c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 t="s">
        <v>349</v>
      </c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 t="s">
        <v>337</v>
      </c>
      <c r="C18" s="4" t="s">
        <v>338</v>
      </c>
      <c r="D18" s="4" t="s">
        <v>339</v>
      </c>
      <c r="E18" s="4" t="s">
        <v>340</v>
      </c>
      <c r="F18" s="4" t="s">
        <v>341</v>
      </c>
      <c r="G18" s="4" t="s">
        <v>350</v>
      </c>
    </row>
    <row r="19" spans="1:7" x14ac:dyDescent="0.2">
      <c r="A19" s="4" t="s">
        <v>342</v>
      </c>
      <c r="B19" s="4">
        <v>-1.0109999999999999</v>
      </c>
      <c r="C19" s="4">
        <v>-1.1040000000000001</v>
      </c>
      <c r="D19" s="4">
        <v>-0.27</v>
      </c>
      <c r="E19" s="4">
        <v>-0.51800000000000002</v>
      </c>
      <c r="F19" s="4">
        <v>-2.081</v>
      </c>
      <c r="G19" s="4">
        <v>0.224</v>
      </c>
    </row>
    <row r="20" spans="1:7" x14ac:dyDescent="0.2">
      <c r="A20" s="4" t="s">
        <v>343</v>
      </c>
      <c r="B20" s="4">
        <v>1.375</v>
      </c>
      <c r="C20" s="4">
        <v>1.972</v>
      </c>
      <c r="D20" s="4">
        <v>1.216</v>
      </c>
      <c r="E20" s="4">
        <v>1.85</v>
      </c>
      <c r="F20" s="4">
        <v>1.171</v>
      </c>
      <c r="G20" s="4">
        <v>1.0429999999999999</v>
      </c>
    </row>
    <row r="21" spans="1:7" x14ac:dyDescent="0.2">
      <c r="A21" s="4" t="s">
        <v>344</v>
      </c>
      <c r="B21" s="4">
        <v>0.89</v>
      </c>
      <c r="C21" s="4">
        <v>0.94</v>
      </c>
      <c r="D21" s="4">
        <v>0.93</v>
      </c>
      <c r="E21" s="4">
        <v>0.94</v>
      </c>
      <c r="F21" s="4">
        <v>0.85</v>
      </c>
      <c r="G21" s="4">
        <v>0.9</v>
      </c>
    </row>
    <row r="22" spans="1:7" x14ac:dyDescent="0.2">
      <c r="A22" s="4" t="s">
        <v>345</v>
      </c>
      <c r="B22" s="4">
        <v>3.92</v>
      </c>
      <c r="C22" s="4">
        <v>6.52</v>
      </c>
      <c r="D22" s="4">
        <v>4.43</v>
      </c>
      <c r="E22" s="4">
        <v>6.63</v>
      </c>
      <c r="F22" s="4">
        <v>2.4500000000000002</v>
      </c>
      <c r="G22" s="4">
        <v>4.26</v>
      </c>
    </row>
    <row r="23" spans="1:7" x14ac:dyDescent="0.2">
      <c r="A23" s="4" t="s">
        <v>346</v>
      </c>
      <c r="B23" s="4" t="s">
        <v>973</v>
      </c>
      <c r="C23" s="4" t="s">
        <v>973</v>
      </c>
      <c r="D23" s="4" t="s">
        <v>973</v>
      </c>
      <c r="E23" s="4" t="s">
        <v>973</v>
      </c>
      <c r="F23" s="4" t="s">
        <v>973</v>
      </c>
      <c r="G23" s="4">
        <v>0.04</v>
      </c>
    </row>
    <row r="24" spans="1:7" x14ac:dyDescent="0.2">
      <c r="A24" s="4" t="s">
        <v>348</v>
      </c>
      <c r="B24" s="4">
        <v>1.02</v>
      </c>
      <c r="C24" s="4">
        <v>1.02</v>
      </c>
      <c r="D24" s="4">
        <v>1.02</v>
      </c>
      <c r="E24" s="4">
        <v>1.02</v>
      </c>
      <c r="F24" s="4">
        <v>1.02</v>
      </c>
      <c r="G24" s="4">
        <v>1.02</v>
      </c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 t="s">
        <v>351</v>
      </c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 t="s">
        <v>760</v>
      </c>
      <c r="B29" s="4" t="s">
        <v>337</v>
      </c>
      <c r="C29" s="4" t="s">
        <v>352</v>
      </c>
      <c r="D29" s="4" t="s">
        <v>338</v>
      </c>
      <c r="E29" s="4" t="s">
        <v>352</v>
      </c>
      <c r="F29" s="4" t="s">
        <v>339</v>
      </c>
      <c r="G29" s="4" t="s">
        <v>352</v>
      </c>
    </row>
    <row r="30" spans="1:7" x14ac:dyDescent="0.2">
      <c r="A30" s="11" t="s">
        <v>820</v>
      </c>
      <c r="B30" s="4">
        <v>1182</v>
      </c>
      <c r="C30" s="4">
        <v>101</v>
      </c>
      <c r="D30" s="4">
        <v>18467</v>
      </c>
      <c r="E30" s="4">
        <v>1680</v>
      </c>
      <c r="F30" s="4">
        <v>1959</v>
      </c>
      <c r="G30" s="4">
        <v>167</v>
      </c>
    </row>
    <row r="31" spans="1:7" x14ac:dyDescent="0.2">
      <c r="A31" s="11" t="s">
        <v>807</v>
      </c>
      <c r="B31" s="4">
        <v>513</v>
      </c>
      <c r="C31" s="4">
        <v>82</v>
      </c>
      <c r="D31" s="4" t="s">
        <v>973</v>
      </c>
      <c r="E31" s="4" t="s">
        <v>973</v>
      </c>
      <c r="F31" s="4">
        <v>8407</v>
      </c>
      <c r="G31" s="4">
        <v>1306</v>
      </c>
    </row>
    <row r="33" spans="1:6" x14ac:dyDescent="0.2">
      <c r="A33" s="1" t="s">
        <v>353</v>
      </c>
    </row>
    <row r="34" spans="1:6" x14ac:dyDescent="0.2">
      <c r="A34" s="1" t="s">
        <v>793</v>
      </c>
      <c r="B34" s="3" t="s">
        <v>354</v>
      </c>
      <c r="C34" s="3" t="s">
        <v>355</v>
      </c>
      <c r="D34" s="3" t="s">
        <v>357</v>
      </c>
    </row>
    <row r="35" spans="1:6" x14ac:dyDescent="0.2">
      <c r="A35" s="3" t="s">
        <v>358</v>
      </c>
      <c r="B35" s="3" t="s">
        <v>359</v>
      </c>
      <c r="C35" s="3" t="s">
        <v>360</v>
      </c>
      <c r="D35" s="3" t="s">
        <v>361</v>
      </c>
      <c r="E35" s="3" t="s">
        <v>362</v>
      </c>
    </row>
    <row r="36" spans="1:6" x14ac:dyDescent="0.2">
      <c r="A36" s="3" t="s">
        <v>363</v>
      </c>
      <c r="B36" s="3">
        <v>12.6</v>
      </c>
      <c r="C36" s="3">
        <v>6.8</v>
      </c>
      <c r="D36" s="3">
        <f>C36/B36</f>
        <v>0.53968253968253965</v>
      </c>
      <c r="E36" s="1">
        <f>D36/10</f>
        <v>5.3968253968253964E-2</v>
      </c>
    </row>
    <row r="37" spans="1:6" x14ac:dyDescent="0.2">
      <c r="A37" s="3" t="s">
        <v>364</v>
      </c>
      <c r="B37" s="3">
        <v>12.2</v>
      </c>
      <c r="C37" s="3">
        <v>6.5</v>
      </c>
      <c r="D37" s="3">
        <f>C37/B37</f>
        <v>0.53278688524590168</v>
      </c>
      <c r="E37" s="1">
        <f>D37/10</f>
        <v>5.3278688524590168E-2</v>
      </c>
    </row>
    <row r="38" spans="1:6" x14ac:dyDescent="0.2">
      <c r="A38" s="3" t="s">
        <v>365</v>
      </c>
      <c r="B38" s="3">
        <v>9.9</v>
      </c>
      <c r="C38" s="3">
        <v>4.8</v>
      </c>
      <c r="D38" s="3">
        <f>C38/B38</f>
        <v>0.48484848484848481</v>
      </c>
      <c r="E38" s="1">
        <f>D38/10</f>
        <v>4.8484848484848478E-2</v>
      </c>
    </row>
    <row r="39" spans="1:6" x14ac:dyDescent="0.2">
      <c r="A39" s="3" t="s">
        <v>366</v>
      </c>
      <c r="B39" s="3">
        <v>11</v>
      </c>
      <c r="C39" s="3">
        <v>5.5</v>
      </c>
      <c r="D39" s="3">
        <f>C39/B39</f>
        <v>0.5</v>
      </c>
      <c r="E39" s="1">
        <f>D39/10</f>
        <v>0.05</v>
      </c>
      <c r="F39" s="3" t="s">
        <v>367</v>
      </c>
    </row>
    <row r="42" spans="1:6" x14ac:dyDescent="0.2">
      <c r="A42" s="1" t="s">
        <v>694</v>
      </c>
    </row>
    <row r="43" spans="1:6" x14ac:dyDescent="0.2">
      <c r="A43" s="3" t="s">
        <v>368</v>
      </c>
    </row>
    <row r="44" spans="1:6" x14ac:dyDescent="0.2">
      <c r="D44" s="3" t="s">
        <v>369</v>
      </c>
      <c r="E44" s="3">
        <v>4.8</v>
      </c>
      <c r="F44" s="3" t="s">
        <v>370</v>
      </c>
    </row>
    <row r="46" spans="1:6" x14ac:dyDescent="0.2">
      <c r="B46" s="3" t="s">
        <v>371</v>
      </c>
      <c r="C46" s="3" t="s">
        <v>372</v>
      </c>
      <c r="D46" s="3" t="s">
        <v>373</v>
      </c>
    </row>
    <row r="47" spans="1:6" x14ac:dyDescent="0.2">
      <c r="B47" s="3" t="s">
        <v>374</v>
      </c>
      <c r="C47" s="3" t="s">
        <v>375</v>
      </c>
      <c r="D47" s="3" t="s">
        <v>376</v>
      </c>
      <c r="E47" s="3" t="s">
        <v>377</v>
      </c>
    </row>
    <row r="48" spans="1:6" x14ac:dyDescent="0.2">
      <c r="B48" s="3">
        <v>1</v>
      </c>
      <c r="C48" s="3">
        <v>5.8999999999999997E-2</v>
      </c>
      <c r="D48" s="3">
        <v>1.2291666666666666E-2</v>
      </c>
      <c r="E48" s="1">
        <v>1.2291666666666666E-2</v>
      </c>
    </row>
    <row r="49" spans="2:5" x14ac:dyDescent="0.2">
      <c r="B49" s="3">
        <v>2</v>
      </c>
      <c r="C49" s="3">
        <v>0.15462642165528684</v>
      </c>
      <c r="D49" s="3">
        <v>3.2213837844851427E-2</v>
      </c>
      <c r="E49" s="1">
        <v>1.6106918922425714E-2</v>
      </c>
    </row>
    <row r="50" spans="2:5" x14ac:dyDescent="0.2">
      <c r="B50" s="3">
        <v>3</v>
      </c>
      <c r="C50" s="3">
        <v>0.27167555046993053</v>
      </c>
      <c r="D50" s="3">
        <v>5.659907301456886E-2</v>
      </c>
      <c r="E50" s="1">
        <v>1.8866357671522952E-2</v>
      </c>
    </row>
    <row r="51" spans="2:5" x14ac:dyDescent="0.2">
      <c r="B51" s="3">
        <v>4</v>
      </c>
      <c r="C51" s="3">
        <v>0.40524288599861963</v>
      </c>
      <c r="D51" s="3">
        <v>8.442560124971242E-2</v>
      </c>
      <c r="E51" s="1">
        <v>2.1106400312428105E-2</v>
      </c>
    </row>
    <row r="52" spans="2:5" x14ac:dyDescent="0.2">
      <c r="B52" s="3">
        <v>5</v>
      </c>
      <c r="C52" s="3">
        <v>0.55261200796257515</v>
      </c>
      <c r="D52" s="3">
        <v>0.11512750165886983</v>
      </c>
      <c r="E52" s="1">
        <v>2.3025500331773967E-2</v>
      </c>
    </row>
    <row r="53" spans="2:5" x14ac:dyDescent="0.2">
      <c r="B53" s="3">
        <v>6</v>
      </c>
      <c r="C53" s="3">
        <v>0.71200369865077362</v>
      </c>
      <c r="D53" s="3">
        <v>0.14833410388557786</v>
      </c>
      <c r="E53" s="1">
        <v>2.472235064759631E-2</v>
      </c>
    </row>
    <row r="54" spans="2:5" x14ac:dyDescent="0.2">
      <c r="B54" s="3">
        <v>7</v>
      </c>
      <c r="C54" s="3">
        <v>0.88214156802586963</v>
      </c>
      <c r="D54" s="3">
        <v>0.18377949333872284</v>
      </c>
      <c r="E54" s="1">
        <v>2.6254213334103264E-2</v>
      </c>
    </row>
    <row r="55" spans="2:5" x14ac:dyDescent="0.2">
      <c r="B55" s="3">
        <v>8</v>
      </c>
      <c r="C55" s="3">
        <v>1.0620552095462357</v>
      </c>
      <c r="D55" s="3">
        <v>0.2212615019887991</v>
      </c>
      <c r="E55" s="1">
        <v>2.7657687748599887E-2</v>
      </c>
    </row>
    <row r="56" spans="2:5" x14ac:dyDescent="0.2">
      <c r="B56" s="3">
        <v>9</v>
      </c>
      <c r="C56" s="3">
        <v>1.2509763512396574</v>
      </c>
      <c r="D56" s="3">
        <v>0.26062007317492863</v>
      </c>
      <c r="E56" s="1">
        <v>2.8957785908325404E-2</v>
      </c>
    </row>
    <row r="57" spans="2:5" x14ac:dyDescent="0.2">
      <c r="B57" s="3">
        <v>10</v>
      </c>
      <c r="C57" s="3">
        <v>1.4482782602541679</v>
      </c>
      <c r="D57" s="3">
        <v>0.30172463755295165</v>
      </c>
      <c r="E57" s="1">
        <v>3.0172463755295163E-2</v>
      </c>
    </row>
    <row r="58" spans="2:5" x14ac:dyDescent="0.2">
      <c r="B58" s="3">
        <v>11</v>
      </c>
      <c r="C58" s="3">
        <v>1.653437731476312</v>
      </c>
      <c r="D58" s="3">
        <v>0.34446619405756501</v>
      </c>
      <c r="E58" s="1">
        <v>3.1315108550687726E-2</v>
      </c>
    </row>
    <row r="59" spans="2:5" x14ac:dyDescent="0.2">
      <c r="B59" s="3">
        <v>12</v>
      </c>
      <c r="C59" s="3">
        <v>1.8660099004694628</v>
      </c>
      <c r="D59" s="3">
        <v>0.38875206259780476</v>
      </c>
      <c r="E59" s="1">
        <v>3.2396005216483732E-2</v>
      </c>
    </row>
    <row r="60" spans="2:5" x14ac:dyDescent="0.2">
      <c r="B60" s="3">
        <v>13</v>
      </c>
      <c r="C60" s="3">
        <v>2.0856108204503179</v>
      </c>
      <c r="D60" s="3">
        <v>0.43450225426048289</v>
      </c>
      <c r="E60" s="1">
        <v>3.3423250327729456E-2</v>
      </c>
    </row>
    <row r="61" spans="2:5" x14ac:dyDescent="0.2">
      <c r="B61" s="3">
        <v>14</v>
      </c>
      <c r="C61" s="3">
        <v>2.311904984020746</v>
      </c>
      <c r="D61" s="3">
        <v>0.48164687167098874</v>
      </c>
      <c r="E61" s="1">
        <v>3.4403347976499195E-2</v>
      </c>
    </row>
    <row r="62" spans="2:5" x14ac:dyDescent="0.2">
      <c r="B62" s="3">
        <v>15</v>
      </c>
      <c r="C62" s="3">
        <v>2.5445961264326482</v>
      </c>
      <c r="D62" s="3">
        <v>0.53012419300680169</v>
      </c>
      <c r="E62" s="1">
        <v>3.5341612867120113E-2</v>
      </c>
    </row>
    <row r="63" spans="2:5" x14ac:dyDescent="0.2">
      <c r="B63" s="3">
        <v>16</v>
      </c>
      <c r="C63" s="3">
        <v>2.7834202822455971</v>
      </c>
      <c r="D63" s="3">
        <v>0.57987922546783277</v>
      </c>
      <c r="E63" s="1">
        <v>3.6242451591739548E-2</v>
      </c>
    </row>
    <row r="64" spans="2:5" x14ac:dyDescent="0.2">
      <c r="B64" s="3">
        <v>17</v>
      </c>
      <c r="C64" s="3">
        <v>3.0281404345884662</v>
      </c>
      <c r="D64" s="3">
        <v>0.63086259053926386</v>
      </c>
      <c r="E64" s="1">
        <v>3.710956414936846E-2</v>
      </c>
    </row>
    <row r="65" spans="1:6" x14ac:dyDescent="0.2">
      <c r="B65" s="3">
        <v>18</v>
      </c>
      <c r="C65" s="3">
        <v>3.2785423180944964</v>
      </c>
      <c r="D65" s="3">
        <v>0.68302964960302015</v>
      </c>
      <c r="E65" s="1">
        <v>3.7946091644612233E-2</v>
      </c>
    </row>
    <row r="66" spans="1:6" x14ac:dyDescent="0.2">
      <c r="B66" s="3">
        <v>19</v>
      </c>
      <c r="C66" s="3">
        <v>3.5344310755753496</v>
      </c>
      <c r="D66" s="3">
        <v>0.73633980741153116</v>
      </c>
      <c r="E66" s="1">
        <v>3.875472670587006E-2</v>
      </c>
    </row>
    <row r="67" spans="1:6" x14ac:dyDescent="0.2">
      <c r="B67" s="3">
        <v>20</v>
      </c>
      <c r="C67" s="3">
        <v>3.795628558377055</v>
      </c>
      <c r="D67" s="3">
        <v>0.79075594966188645</v>
      </c>
      <c r="E67" s="1">
        <v>3.9537797483094321E-2</v>
      </c>
    </row>
    <row r="68" spans="1:6" x14ac:dyDescent="0.2">
      <c r="E68" s="31">
        <v>2.9281565090597116E-2</v>
      </c>
      <c r="F68" s="3" t="s">
        <v>378</v>
      </c>
    </row>
    <row r="69" spans="1:6" x14ac:dyDescent="0.2">
      <c r="A69" s="3" t="s">
        <v>379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/>
  </sheetViews>
  <sheetFormatPr baseColWidth="10" defaultColWidth="11.42578125" defaultRowHeight="12.75" x14ac:dyDescent="0.2"/>
  <sheetData>
    <row r="1" spans="1:2" x14ac:dyDescent="0.2">
      <c r="A1" s="1" t="s">
        <v>759</v>
      </c>
      <c r="B1" s="3" t="s">
        <v>380</v>
      </c>
    </row>
    <row r="2" spans="1:2" x14ac:dyDescent="0.2">
      <c r="A2" s="1" t="s">
        <v>962</v>
      </c>
      <c r="B2" s="3" t="s">
        <v>381</v>
      </c>
    </row>
    <row r="27" spans="1:3" x14ac:dyDescent="0.2">
      <c r="A27" s="32" t="s">
        <v>759</v>
      </c>
      <c r="B27" s="4" t="s">
        <v>382</v>
      </c>
    </row>
    <row r="28" spans="1:3" x14ac:dyDescent="0.2">
      <c r="A28" s="1"/>
    </row>
    <row r="29" spans="1:3" x14ac:dyDescent="0.2">
      <c r="B29" s="3" t="s">
        <v>383</v>
      </c>
      <c r="C29" s="4" t="s">
        <v>384</v>
      </c>
    </row>
    <row r="30" spans="1:3" x14ac:dyDescent="0.2">
      <c r="B30" s="3" t="s">
        <v>385</v>
      </c>
      <c r="C30" s="4" t="s">
        <v>386</v>
      </c>
    </row>
    <row r="31" spans="1:3" x14ac:dyDescent="0.2">
      <c r="B31" s="3" t="s">
        <v>387</v>
      </c>
      <c r="C31" s="4" t="s">
        <v>388</v>
      </c>
    </row>
    <row r="32" spans="1:3" x14ac:dyDescent="0.2">
      <c r="B32" s="3" t="s">
        <v>389</v>
      </c>
      <c r="C32" s="4" t="s">
        <v>390</v>
      </c>
    </row>
    <row r="33" spans="1:4" x14ac:dyDescent="0.2">
      <c r="B33" s="3" t="s">
        <v>391</v>
      </c>
      <c r="C33" s="4" t="s">
        <v>392</v>
      </c>
      <c r="D33" s="19" t="s">
        <v>393</v>
      </c>
    </row>
    <row r="35" spans="1:4" x14ac:dyDescent="0.2">
      <c r="A35" s="32" t="s">
        <v>759</v>
      </c>
      <c r="B35" s="4" t="s">
        <v>394</v>
      </c>
      <c r="C35" s="4"/>
      <c r="D35" s="4"/>
    </row>
    <row r="36" spans="1:4" x14ac:dyDescent="0.2">
      <c r="A36" s="32" t="s">
        <v>760</v>
      </c>
      <c r="B36" s="11" t="s">
        <v>778</v>
      </c>
      <c r="C36" s="4"/>
      <c r="D36" s="4"/>
    </row>
    <row r="37" spans="1:4" x14ac:dyDescent="0.2">
      <c r="A37" s="4"/>
      <c r="B37" s="4" t="s">
        <v>395</v>
      </c>
      <c r="C37" s="4"/>
      <c r="D37" s="4"/>
    </row>
    <row r="38" spans="1:4" x14ac:dyDescent="0.2">
      <c r="A38" s="4"/>
      <c r="B38" s="4" t="s">
        <v>396</v>
      </c>
      <c r="C38" s="4"/>
      <c r="D38" s="4"/>
    </row>
    <row r="39" spans="1:4" x14ac:dyDescent="0.2">
      <c r="A39" s="4"/>
      <c r="B39" s="4"/>
      <c r="C39" s="4"/>
      <c r="D39" s="4"/>
    </row>
    <row r="40" spans="1:4" x14ac:dyDescent="0.2">
      <c r="A40" s="4"/>
      <c r="B40" s="4"/>
      <c r="C40" s="4"/>
      <c r="D40" s="4"/>
    </row>
    <row r="41" spans="1:4" x14ac:dyDescent="0.2">
      <c r="D41" s="19" t="s">
        <v>393</v>
      </c>
    </row>
    <row r="43" spans="1:4" x14ac:dyDescent="0.2">
      <c r="A43" s="1" t="s">
        <v>397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AB59"/>
  <sheetViews>
    <sheetView tabSelected="1" topLeftCell="J17" workbookViewId="0">
      <selection activeCell="X25" sqref="X25"/>
    </sheetView>
  </sheetViews>
  <sheetFormatPr baseColWidth="10" defaultColWidth="9.140625" defaultRowHeight="12.75" x14ac:dyDescent="0.2"/>
  <cols>
    <col min="1" max="16384" width="9.140625" style="57"/>
  </cols>
  <sheetData>
    <row r="1" spans="1:28" x14ac:dyDescent="0.2">
      <c r="A1" s="57" t="s">
        <v>885</v>
      </c>
    </row>
    <row r="2" spans="1:28" x14ac:dyDescent="0.2">
      <c r="B2" s="57" t="s">
        <v>886</v>
      </c>
      <c r="Y2" s="57" t="s">
        <v>887</v>
      </c>
      <c r="Z2" s="57" t="s">
        <v>888</v>
      </c>
      <c r="AA2" s="57" t="s">
        <v>889</v>
      </c>
    </row>
    <row r="3" spans="1:28" x14ac:dyDescent="0.2">
      <c r="A3" s="57" t="s">
        <v>890</v>
      </c>
      <c r="F3" s="58" t="s">
        <v>891</v>
      </c>
      <c r="H3" s="58" t="s">
        <v>892</v>
      </c>
      <c r="Y3" s="57">
        <v>11.5</v>
      </c>
      <c r="Z3" s="57">
        <v>2.5875118286046992</v>
      </c>
      <c r="AA3" s="57">
        <f t="shared" ref="AA3:AA36" si="0">$X$25/($X$26+Z3^$X$27)</f>
        <v>11.701150772557527</v>
      </c>
      <c r="AB3" s="57">
        <f t="shared" ref="AB3:AB36" si="1">(Y3-AA3)^2</f>
        <v>4.0461633300490137E-2</v>
      </c>
    </row>
    <row r="4" spans="1:28" x14ac:dyDescent="0.2">
      <c r="B4" s="57" t="s">
        <v>893</v>
      </c>
      <c r="C4" s="57" t="s">
        <v>894</v>
      </c>
      <c r="D4" s="57" t="s">
        <v>895</v>
      </c>
      <c r="F4" s="57" t="s">
        <v>896</v>
      </c>
      <c r="G4" s="57" t="s">
        <v>897</v>
      </c>
      <c r="H4" s="58">
        <v>1.6</v>
      </c>
      <c r="Y4" s="57">
        <v>12</v>
      </c>
      <c r="Z4" s="57">
        <v>2.9445292044223796</v>
      </c>
      <c r="AA4" s="57">
        <f t="shared" si="0"/>
        <v>12.169232202859229</v>
      </c>
      <c r="AB4" s="57">
        <f t="shared" si="1"/>
        <v>2.8639538484587244E-2</v>
      </c>
    </row>
    <row r="5" spans="1:28" x14ac:dyDescent="0.2">
      <c r="B5" s="57">
        <v>11.5</v>
      </c>
      <c r="C5" s="57">
        <f t="shared" ref="C5:C25" si="2">LN(B5)</f>
        <v>2.4423470353692043</v>
      </c>
      <c r="D5" s="57">
        <f t="shared" ref="D5:D25" si="3">1.643*(C5-1.299)/0.541-1.423</f>
        <v>2.0493090186905776</v>
      </c>
      <c r="F5" s="57">
        <f t="shared" ref="F5:F25" si="4">EXP(D5)</f>
        <v>7.7625354858140962</v>
      </c>
      <c r="G5" s="57">
        <f t="shared" ref="G5:G25" si="5">F5*$H$4/4.8</f>
        <v>2.5875118286046992</v>
      </c>
      <c r="Y5" s="57">
        <v>12.5</v>
      </c>
      <c r="Z5" s="57">
        <v>3.3331708436936816</v>
      </c>
      <c r="AA5" s="57">
        <f t="shared" si="0"/>
        <v>12.636529726407966</v>
      </c>
      <c r="AB5" s="57">
        <f t="shared" si="1"/>
        <v>1.8640366193034084E-2</v>
      </c>
    </row>
    <row r="6" spans="1:28" x14ac:dyDescent="0.2">
      <c r="B6" s="57">
        <v>12</v>
      </c>
      <c r="C6" s="57">
        <f t="shared" si="2"/>
        <v>2.4849066497880004</v>
      </c>
      <c r="D6" s="57">
        <f t="shared" si="3"/>
        <v>2.1785612303173467</v>
      </c>
      <c r="F6" s="57">
        <f t="shared" si="4"/>
        <v>8.833587613267138</v>
      </c>
      <c r="G6" s="57">
        <f t="shared" si="5"/>
        <v>2.9445292044223796</v>
      </c>
      <c r="Y6" s="57">
        <v>13</v>
      </c>
      <c r="Z6" s="57">
        <v>3.754804160950894</v>
      </c>
      <c r="AA6" s="57">
        <f t="shared" si="0"/>
        <v>13.103129681871271</v>
      </c>
      <c r="AB6" s="57">
        <f t="shared" si="1"/>
        <v>1.0635731282869659E-2</v>
      </c>
    </row>
    <row r="7" spans="1:28" x14ac:dyDescent="0.2">
      <c r="B7" s="57">
        <v>12.5</v>
      </c>
      <c r="C7" s="57">
        <f t="shared" si="2"/>
        <v>2.5257286443082556</v>
      </c>
      <c r="D7" s="57">
        <f t="shared" si="3"/>
        <v>2.3025363449139817</v>
      </c>
      <c r="F7" s="57">
        <f t="shared" si="4"/>
        <v>9.9995125310810433</v>
      </c>
      <c r="G7" s="57">
        <f t="shared" si="5"/>
        <v>3.3331708436936816</v>
      </c>
      <c r="Y7" s="57">
        <v>13.5</v>
      </c>
      <c r="Z7" s="57">
        <v>4.2107985953284341</v>
      </c>
      <c r="AA7" s="57">
        <f t="shared" si="0"/>
        <v>13.569111410103803</v>
      </c>
      <c r="AB7" s="57">
        <f t="shared" si="1"/>
        <v>4.7763870065360209E-3</v>
      </c>
    </row>
    <row r="8" spans="1:28" x14ac:dyDescent="0.2">
      <c r="B8" s="57">
        <v>13</v>
      </c>
      <c r="C8" s="57">
        <f t="shared" si="2"/>
        <v>2.5649493574615367</v>
      </c>
      <c r="D8" s="57">
        <f t="shared" si="3"/>
        <v>2.4216484183166447</v>
      </c>
      <c r="F8" s="57">
        <f t="shared" si="4"/>
        <v>11.264412482852681</v>
      </c>
      <c r="G8" s="57">
        <f t="shared" si="5"/>
        <v>3.754804160950894</v>
      </c>
      <c r="Y8" s="57">
        <v>14</v>
      </c>
      <c r="Z8" s="57">
        <v>4.7025255354438702</v>
      </c>
      <c r="AA8" s="57">
        <f t="shared" si="0"/>
        <v>14.034548075384395</v>
      </c>
      <c r="AB8" s="57">
        <f t="shared" si="1"/>
        <v>1.1935695127658224E-3</v>
      </c>
    </row>
    <row r="9" spans="1:28" x14ac:dyDescent="0.2">
      <c r="B9" s="57">
        <v>13.5</v>
      </c>
      <c r="C9" s="57">
        <f t="shared" si="2"/>
        <v>2.6026896854443837</v>
      </c>
      <c r="D9" s="57">
        <f t="shared" si="3"/>
        <v>2.5362646084752729</v>
      </c>
      <c r="F9" s="57">
        <f t="shared" si="4"/>
        <v>12.632395785985301</v>
      </c>
      <c r="G9" s="57">
        <f t="shared" si="5"/>
        <v>4.2107985953284341</v>
      </c>
      <c r="Y9" s="57">
        <v>14.5</v>
      </c>
      <c r="Z9" s="57">
        <v>5.2313582497520699</v>
      </c>
      <c r="AA9" s="57">
        <f t="shared" si="0"/>
        <v>14.499507364974052</v>
      </c>
      <c r="AB9" s="57">
        <f t="shared" si="1"/>
        <v>2.4268926879055311E-7</v>
      </c>
    </row>
    <row r="10" spans="1:28" x14ac:dyDescent="0.2">
      <c r="B10" s="57">
        <v>14</v>
      </c>
      <c r="C10" s="57">
        <f t="shared" si="2"/>
        <v>2.6390573296152584</v>
      </c>
      <c r="D10" s="57">
        <f t="shared" si="3"/>
        <v>2.6467120010311822</v>
      </c>
      <c r="F10" s="57">
        <f t="shared" si="4"/>
        <v>14.107576606331607</v>
      </c>
      <c r="G10" s="57">
        <f t="shared" si="5"/>
        <v>4.7025255354438702</v>
      </c>
      <c r="Y10" s="57">
        <v>15</v>
      </c>
      <c r="Z10" s="57">
        <v>5.798671821791709</v>
      </c>
      <c r="AA10" s="57">
        <f t="shared" si="0"/>
        <v>14.964052088568437</v>
      </c>
      <c r="AB10" s="57">
        <f t="shared" si="1"/>
        <v>1.2922523362915183E-3</v>
      </c>
    </row>
    <row r="11" spans="1:28" x14ac:dyDescent="0.2">
      <c r="B11" s="57">
        <v>14.5</v>
      </c>
      <c r="C11" s="57">
        <f t="shared" si="2"/>
        <v>2.6741486494265287</v>
      </c>
      <c r="D11" s="57">
        <f t="shared" si="3"/>
        <v>2.7532832366132842</v>
      </c>
      <c r="F11" s="57">
        <f t="shared" si="4"/>
        <v>15.694074749256208</v>
      </c>
      <c r="G11" s="57">
        <f t="shared" si="5"/>
        <v>5.2313582497520699</v>
      </c>
      <c r="Y11" s="57">
        <v>15.5</v>
      </c>
      <c r="Z11" s="57">
        <v>6.4058430898232857</v>
      </c>
      <c r="AA11" s="57">
        <f t="shared" si="0"/>
        <v>15.428240694805405</v>
      </c>
      <c r="AB11" s="57">
        <f t="shared" si="1"/>
        <v>5.1493978820110371E-3</v>
      </c>
    </row>
    <row r="12" spans="1:28" x14ac:dyDescent="0.2">
      <c r="B12" s="57">
        <v>15</v>
      </c>
      <c r="C12" s="57">
        <f t="shared" si="2"/>
        <v>2.7080502011022101</v>
      </c>
      <c r="D12" s="57">
        <f t="shared" si="3"/>
        <v>2.8562411837540314</v>
      </c>
      <c r="F12" s="57">
        <f t="shared" si="4"/>
        <v>17.396015465375125</v>
      </c>
      <c r="G12" s="57">
        <f t="shared" si="5"/>
        <v>5.798671821791709</v>
      </c>
      <c r="Y12" s="57">
        <v>16</v>
      </c>
      <c r="Z12" s="57">
        <v>7.0542505904237807</v>
      </c>
      <c r="AA12" s="57">
        <f t="shared" si="0"/>
        <v>15.892127718590068</v>
      </c>
      <c r="AB12" s="57">
        <f t="shared" si="1"/>
        <v>1.1636429096583608E-2</v>
      </c>
    </row>
    <row r="13" spans="1:28" x14ac:dyDescent="0.2">
      <c r="B13" s="57">
        <v>15.5</v>
      </c>
      <c r="C13" s="57">
        <f t="shared" si="2"/>
        <v>2.7408400239252009</v>
      </c>
      <c r="D13" s="57">
        <f t="shared" si="3"/>
        <v>2.9558228453033362</v>
      </c>
      <c r="F13" s="57">
        <f t="shared" si="4"/>
        <v>19.217529269469853</v>
      </c>
      <c r="G13" s="57">
        <f t="shared" si="5"/>
        <v>6.4058430898232857</v>
      </c>
      <c r="Y13" s="57">
        <v>16.5</v>
      </c>
      <c r="Z13" s="57">
        <v>7.7452745056591494</v>
      </c>
      <c r="AA13" s="57">
        <f t="shared" si="0"/>
        <v>16.355764170360047</v>
      </c>
      <c r="AB13" s="57">
        <f t="shared" si="1"/>
        <v>2.080397455192563E-2</v>
      </c>
    </row>
    <row r="14" spans="1:28" x14ac:dyDescent="0.2">
      <c r="B14" s="57">
        <v>16</v>
      </c>
      <c r="C14" s="57">
        <f t="shared" si="2"/>
        <v>2.7725887222397811</v>
      </c>
      <c r="D14" s="57">
        <f t="shared" si="3"/>
        <v>3.0522426444361557</v>
      </c>
      <c r="F14" s="57">
        <f t="shared" si="4"/>
        <v>21.162751771271342</v>
      </c>
      <c r="G14" s="57">
        <f t="shared" si="5"/>
        <v>7.0542505904237807</v>
      </c>
      <c r="Y14" s="57">
        <v>17</v>
      </c>
      <c r="Z14" s="57">
        <v>8.4802966135025724</v>
      </c>
      <c r="AA14" s="57">
        <f t="shared" si="0"/>
        <v>16.81919787634402</v>
      </c>
      <c r="AB14" s="57">
        <f t="shared" si="1"/>
        <v>3.2689407918512131E-2</v>
      </c>
    </row>
    <row r="15" spans="1:28" x14ac:dyDescent="0.2">
      <c r="B15" s="57">
        <v>16.5</v>
      </c>
      <c r="C15" s="57">
        <f t="shared" si="2"/>
        <v>2.8033603809065348</v>
      </c>
      <c r="D15" s="57">
        <f t="shared" si="3"/>
        <v>3.1456952048603268</v>
      </c>
      <c r="F15" s="57">
        <f t="shared" si="4"/>
        <v>23.235823516977447</v>
      </c>
      <c r="G15" s="57">
        <f t="shared" si="5"/>
        <v>7.7452745056591494</v>
      </c>
      <c r="Y15" s="57">
        <v>17.5</v>
      </c>
      <c r="Z15" s="57">
        <v>9.260700241206651</v>
      </c>
      <c r="AA15" s="57">
        <f t="shared" si="0"/>
        <v>17.282473777232077</v>
      </c>
      <c r="AB15" s="57">
        <f t="shared" si="1"/>
        <v>4.7317657591679912E-2</v>
      </c>
    </row>
    <row r="16" spans="1:28" x14ac:dyDescent="0.2">
      <c r="B16" s="57">
        <v>17</v>
      </c>
      <c r="C16" s="57">
        <f t="shared" si="2"/>
        <v>2.8332133440562162</v>
      </c>
      <c r="D16" s="57">
        <f t="shared" si="3"/>
        <v>3.2363577158675838</v>
      </c>
      <c r="F16" s="57">
        <f t="shared" si="4"/>
        <v>25.440889840507712</v>
      </c>
      <c r="G16" s="57">
        <f t="shared" si="5"/>
        <v>8.4802966135025724</v>
      </c>
      <c r="Y16" s="57">
        <v>18</v>
      </c>
      <c r="Z16" s="57">
        <v>10.087870221371499</v>
      </c>
      <c r="AA16" s="57">
        <f t="shared" si="0"/>
        <v>17.7456341913743</v>
      </c>
      <c r="AB16" s="57">
        <f t="shared" si="1"/>
        <v>6.4701964597806083E-2</v>
      </c>
    </row>
    <row r="17" spans="1:28" x14ac:dyDescent="0.2">
      <c r="B17" s="57">
        <v>17.5</v>
      </c>
      <c r="C17" s="57">
        <f t="shared" si="2"/>
        <v>2.8622008809294686</v>
      </c>
      <c r="D17" s="57">
        <f t="shared" si="3"/>
        <v>3.3243919544678677</v>
      </c>
      <c r="F17" s="57">
        <f t="shared" si="4"/>
        <v>27.782100723619951</v>
      </c>
      <c r="G17" s="57">
        <f t="shared" si="5"/>
        <v>9.260700241206651</v>
      </c>
      <c r="Y17" s="57">
        <v>18.5</v>
      </c>
      <c r="Z17" s="57">
        <v>10.963192850480265</v>
      </c>
      <c r="AA17" s="57">
        <f t="shared" si="0"/>
        <v>18.208719047581027</v>
      </c>
      <c r="AB17" s="57">
        <f t="shared" si="1"/>
        <v>8.4844593242103764E-2</v>
      </c>
    </row>
    <row r="18" spans="1:28" x14ac:dyDescent="0.2">
      <c r="B18" s="57">
        <v>18</v>
      </c>
      <c r="C18" s="57">
        <f t="shared" si="2"/>
        <v>2.8903717578961645</v>
      </c>
      <c r="D18" s="57">
        <f t="shared" si="3"/>
        <v>3.4099460225940819</v>
      </c>
      <c r="F18" s="57">
        <f t="shared" si="4"/>
        <v>30.263610664114495</v>
      </c>
      <c r="G18" s="57">
        <f t="shared" si="5"/>
        <v>10.087870221371499</v>
      </c>
      <c r="Y18" s="57">
        <v>19</v>
      </c>
      <c r="Z18" s="57">
        <v>11.888055849698549</v>
      </c>
      <c r="AA18" s="57">
        <f t="shared" si="0"/>
        <v>18.671766091755526</v>
      </c>
      <c r="AB18" s="57">
        <f t="shared" si="1"/>
        <v>0.10773749852144197</v>
      </c>
    </row>
    <row r="19" spans="1:28" x14ac:dyDescent="0.2">
      <c r="B19" s="57">
        <v>18.5</v>
      </c>
      <c r="C19" s="57">
        <f t="shared" si="2"/>
        <v>2.917770732084279</v>
      </c>
      <c r="D19" s="57">
        <f t="shared" si="3"/>
        <v>3.4931558462374683</v>
      </c>
      <c r="F19" s="57">
        <f t="shared" si="4"/>
        <v>32.889578551440792</v>
      </c>
      <c r="G19" s="57">
        <f t="shared" si="5"/>
        <v>10.963192850480265</v>
      </c>
      <c r="Y19" s="57">
        <v>19.5</v>
      </c>
      <c r="Z19" s="57">
        <v>12.863848327756267</v>
      </c>
      <c r="AA19" s="57">
        <f t="shared" si="0"/>
        <v>19.134811070906149</v>
      </c>
      <c r="AB19" s="57">
        <f t="shared" si="1"/>
        <v>0.13336295393271344</v>
      </c>
    </row>
    <row r="20" spans="1:28" x14ac:dyDescent="0.2">
      <c r="B20" s="57">
        <v>19</v>
      </c>
      <c r="C20" s="57">
        <f t="shared" si="2"/>
        <v>2.9444389791664403</v>
      </c>
      <c r="D20" s="57">
        <f t="shared" si="3"/>
        <v>3.5741464746219247</v>
      </c>
      <c r="F20" s="57">
        <f t="shared" si="4"/>
        <v>35.664167549095644</v>
      </c>
      <c r="G20" s="57">
        <f t="shared" si="5"/>
        <v>11.888055849698549</v>
      </c>
      <c r="Y20" s="57">
        <v>20</v>
      </c>
      <c r="Z20" s="57">
        <v>13.89196074574923</v>
      </c>
      <c r="AA20" s="57">
        <f t="shared" si="0"/>
        <v>19.597887897525997</v>
      </c>
      <c r="AB20" s="57">
        <f t="shared" si="1"/>
        <v>0.16169414295606332</v>
      </c>
    </row>
    <row r="21" spans="1:28" x14ac:dyDescent="0.2">
      <c r="B21" s="57">
        <v>19.5</v>
      </c>
      <c r="C21" s="57">
        <f t="shared" si="2"/>
        <v>2.9704144655697009</v>
      </c>
      <c r="D21" s="57">
        <f t="shared" si="3"/>
        <v>3.6530332105933798</v>
      </c>
      <c r="F21" s="57">
        <f t="shared" si="4"/>
        <v>38.591544983268797</v>
      </c>
      <c r="G21" s="57">
        <f t="shared" si="5"/>
        <v>12.863848327756267</v>
      </c>
      <c r="Y21" s="57">
        <v>20.5</v>
      </c>
      <c r="Z21" s="57">
        <v>14.973784883714506</v>
      </c>
      <c r="AA21" s="57">
        <f t="shared" si="0"/>
        <v>20.061028796869266</v>
      </c>
      <c r="AB21" s="57">
        <f t="shared" si="1"/>
        <v>0.19269571717804415</v>
      </c>
    </row>
    <row r="22" spans="1:28" x14ac:dyDescent="0.2">
      <c r="B22" s="57">
        <v>20</v>
      </c>
      <c r="C22" s="57">
        <f t="shared" si="2"/>
        <v>2.9957322735539909</v>
      </c>
      <c r="D22" s="57">
        <f t="shared" si="3"/>
        <v>3.7299225978728403</v>
      </c>
      <c r="F22" s="57">
        <f t="shared" si="4"/>
        <v>41.675882237247684</v>
      </c>
      <c r="G22" s="57">
        <f t="shared" si="5"/>
        <v>13.89196074574923</v>
      </c>
      <c r="Y22" s="57">
        <v>21</v>
      </c>
      <c r="Z22" s="57">
        <v>16.110713808847819</v>
      </c>
      <c r="AA22" s="57">
        <f t="shared" si="0"/>
        <v>20.524264439274152</v>
      </c>
      <c r="AB22" s="57">
        <f t="shared" si="1"/>
        <v>0.22632432373913722</v>
      </c>
    </row>
    <row r="23" spans="1:28" x14ac:dyDescent="0.2">
      <c r="B23" s="57">
        <v>20.5</v>
      </c>
      <c r="C23" s="57">
        <f t="shared" si="2"/>
        <v>3.0204248861443626</v>
      </c>
      <c r="D23" s="57">
        <f t="shared" si="3"/>
        <v>3.8049132863866681</v>
      </c>
      <c r="F23" s="57">
        <f t="shared" si="4"/>
        <v>44.921354651143517</v>
      </c>
      <c r="G23" s="57">
        <f t="shared" si="5"/>
        <v>14.973784883714506</v>
      </c>
      <c r="Y23" s="57">
        <v>21.5</v>
      </c>
      <c r="Z23" s="57">
        <v>17.304141845244438</v>
      </c>
      <c r="AA23" s="57">
        <f t="shared" si="0"/>
        <v>20.987624059367786</v>
      </c>
      <c r="AB23" s="57">
        <f t="shared" si="1"/>
        <v>0.26252910453874645</v>
      </c>
    </row>
    <row r="24" spans="1:28" x14ac:dyDescent="0.2">
      <c r="B24" s="57">
        <v>21</v>
      </c>
      <c r="C24" s="57">
        <f t="shared" si="2"/>
        <v>3.044522437723423</v>
      </c>
      <c r="D24" s="57">
        <f t="shared" si="3"/>
        <v>3.8780967933079182</v>
      </c>
      <c r="F24" s="57">
        <f t="shared" si="4"/>
        <v>48.332141426543458</v>
      </c>
      <c r="G24" s="57">
        <f t="shared" si="5"/>
        <v>16.110713808847819</v>
      </c>
      <c r="Y24" s="57">
        <v>20</v>
      </c>
      <c r="Z24" s="57">
        <v>17.437662270587545</v>
      </c>
      <c r="AA24" s="57">
        <f t="shared" si="0"/>
        <v>21.038124858234401</v>
      </c>
      <c r="AB24" s="57">
        <f t="shared" si="1"/>
        <v>1.0777032212841946</v>
      </c>
    </row>
    <row r="25" spans="1:28" x14ac:dyDescent="0.2">
      <c r="B25" s="57">
        <v>21.5</v>
      </c>
      <c r="C25" s="57">
        <f t="shared" si="2"/>
        <v>3.068052935133617</v>
      </c>
      <c r="D25" s="57">
        <f t="shared" si="3"/>
        <v>3.949558174537029</v>
      </c>
      <c r="F25" s="57">
        <f t="shared" si="4"/>
        <v>51.912425535733306</v>
      </c>
      <c r="G25" s="57">
        <f t="shared" si="5"/>
        <v>17.304141845244438</v>
      </c>
      <c r="W25" s="59" t="s">
        <v>898</v>
      </c>
      <c r="X25" s="59">
        <v>8.5231079324509658</v>
      </c>
      <c r="Y25" s="57">
        <v>20.5</v>
      </c>
      <c r="Z25" s="57">
        <v>18.448828983457094</v>
      </c>
      <c r="AA25" s="57">
        <f t="shared" si="0"/>
        <v>21.412461961330305</v>
      </c>
      <c r="AB25" s="57">
        <f t="shared" si="1"/>
        <v>0.83258683087474639</v>
      </c>
    </row>
    <row r="26" spans="1:28" x14ac:dyDescent="0.2">
      <c r="W26" s="59" t="s">
        <v>899</v>
      </c>
      <c r="X26" s="59">
        <v>-2.9652986157449296E-2</v>
      </c>
      <c r="Y26" s="57">
        <v>21</v>
      </c>
      <c r="Z26" s="57">
        <v>19.492134419749767</v>
      </c>
      <c r="AA26" s="57">
        <f t="shared" si="0"/>
        <v>21.784652398475416</v>
      </c>
      <c r="AB26" s="57">
        <f t="shared" si="1"/>
        <v>0.61567938643322251</v>
      </c>
    </row>
    <row r="27" spans="1:28" x14ac:dyDescent="0.2">
      <c r="B27" s="57" t="s">
        <v>893</v>
      </c>
      <c r="C27" s="57" t="s">
        <v>894</v>
      </c>
      <c r="D27" s="57" t="s">
        <v>895</v>
      </c>
      <c r="F27" s="57" t="s">
        <v>900</v>
      </c>
      <c r="G27" s="57" t="s">
        <v>897</v>
      </c>
      <c r="W27" s="59" t="s">
        <v>901</v>
      </c>
      <c r="X27" s="59">
        <v>-0.291368576921747</v>
      </c>
      <c r="Y27" s="57">
        <v>21.5</v>
      </c>
      <c r="Z27" s="57">
        <v>20.567798368826534</v>
      </c>
      <c r="AA27" s="57">
        <f t="shared" si="0"/>
        <v>22.154774350082086</v>
      </c>
      <c r="AB27" s="57">
        <f t="shared" si="1"/>
        <v>0.42872944952541775</v>
      </c>
    </row>
    <row r="28" spans="1:28" x14ac:dyDescent="0.2">
      <c r="A28" s="57" t="s">
        <v>902</v>
      </c>
      <c r="B28" s="57">
        <v>11</v>
      </c>
      <c r="C28" s="57">
        <f t="shared" ref="C28:C43" si="6">LN(B28)</f>
        <v>2.3978952727983707</v>
      </c>
      <c r="D28" s="57">
        <f t="shared" ref="D28:D43" si="7">-3.717+2.437*((C28-1.388)/0.541)</f>
        <v>0.83219552645033135</v>
      </c>
      <c r="F28" s="57">
        <f t="shared" ref="F28:F43" si="8">EXP(D28)</f>
        <v>2.2983593135486875</v>
      </c>
      <c r="G28" s="57">
        <f t="shared" ref="G28:G43" si="9">F28*$H$4/4.8</f>
        <v>0.76611977118289587</v>
      </c>
      <c r="H28" s="57" t="s">
        <v>903</v>
      </c>
      <c r="I28" s="57" t="s">
        <v>893</v>
      </c>
      <c r="J28" s="57" t="s">
        <v>894</v>
      </c>
      <c r="K28" s="57" t="s">
        <v>895</v>
      </c>
      <c r="L28" s="57" t="s">
        <v>900</v>
      </c>
      <c r="M28" s="57" t="s">
        <v>897</v>
      </c>
      <c r="N28" s="57" t="s">
        <v>904</v>
      </c>
      <c r="O28" s="57" t="s">
        <v>893</v>
      </c>
      <c r="P28" s="57" t="s">
        <v>894</v>
      </c>
      <c r="Q28" s="57" t="s">
        <v>895</v>
      </c>
      <c r="R28" s="57" t="s">
        <v>896</v>
      </c>
      <c r="S28" s="57" t="s">
        <v>897</v>
      </c>
      <c r="T28" s="57" t="s">
        <v>889</v>
      </c>
      <c r="Y28" s="57">
        <v>22</v>
      </c>
      <c r="Z28" s="57">
        <v>21.676036897723158</v>
      </c>
      <c r="AA28" s="57">
        <f t="shared" si="0"/>
        <v>22.522901697249964</v>
      </c>
      <c r="AB28" s="57">
        <f t="shared" si="1"/>
        <v>0.27342618498689258</v>
      </c>
    </row>
    <row r="29" spans="1:28" x14ac:dyDescent="0.2">
      <c r="B29" s="57">
        <v>12</v>
      </c>
      <c r="C29" s="57">
        <f t="shared" si="6"/>
        <v>2.4849066497880004</v>
      </c>
      <c r="D29" s="57">
        <f t="shared" si="7"/>
        <v>1.2241488087492729</v>
      </c>
      <c r="F29" s="57">
        <f t="shared" si="8"/>
        <v>3.4012697192596484</v>
      </c>
      <c r="G29" s="57">
        <f t="shared" si="9"/>
        <v>1.1337565730865495</v>
      </c>
      <c r="I29" s="57">
        <v>20</v>
      </c>
      <c r="J29" s="57">
        <f t="shared" ref="J29:J41" si="10">LN(I29)</f>
        <v>2.9957322735539909</v>
      </c>
      <c r="K29" s="57">
        <f t="shared" ref="K29:K41" si="11">-0.085+1.235*(J29-1.225)/0.541</f>
        <v>3.9572446540465407</v>
      </c>
      <c r="L29" s="57">
        <f t="shared" ref="L29:L41" si="12">EXP(K29)</f>
        <v>52.31298681176262</v>
      </c>
      <c r="M29" s="57">
        <f t="shared" ref="M29:M41" si="13">L29*$H$4/4.8</f>
        <v>17.437662270587545</v>
      </c>
      <c r="O29" s="57">
        <v>15.5</v>
      </c>
      <c r="P29" s="57">
        <f t="shared" ref="P29:P41" si="14">LN(O29)</f>
        <v>2.7408400239252009</v>
      </c>
      <c r="Q29" s="57">
        <f t="shared" ref="Q29:Q41" si="15">-2.519+1.887*(P29-1.212)/0.541</f>
        <v>2.8135713958352193</v>
      </c>
      <c r="R29" s="57">
        <f t="shared" ref="R29:R41" si="16">EXP(Q29)</f>
        <v>16.669344866412615</v>
      </c>
      <c r="S29" s="57">
        <f t="shared" ref="S29:S41" si="17">R29*$H$4/4.8</f>
        <v>5.5564482888042059</v>
      </c>
      <c r="T29" s="57">
        <f t="shared" ref="T29:T41" si="18">$X$25*($X$26+R29*$X$27)</f>
        <v>-41.648817038417207</v>
      </c>
      <c r="U29" s="57">
        <f t="shared" ref="U29:U41" si="19">(O29-T29)^2</f>
        <v>3265.9872888904847</v>
      </c>
      <c r="Y29" s="57">
        <v>22.5</v>
      </c>
      <c r="Z29" s="57">
        <v>22.817062498629959</v>
      </c>
      <c r="AA29" s="57">
        <f t="shared" si="0"/>
        <v>22.889104349748916</v>
      </c>
      <c r="AB29" s="57">
        <f t="shared" si="1"/>
        <v>0.15140219499352653</v>
      </c>
    </row>
    <row r="30" spans="1:28" x14ac:dyDescent="0.2">
      <c r="B30" s="57">
        <v>13</v>
      </c>
      <c r="C30" s="57">
        <f t="shared" si="6"/>
        <v>2.5649493574615367</v>
      </c>
      <c r="D30" s="57">
        <f t="shared" si="7"/>
        <v>1.5847108764025228</v>
      </c>
      <c r="F30" s="57">
        <f t="shared" si="8"/>
        <v>4.8778808641525551</v>
      </c>
      <c r="G30" s="57">
        <f t="shared" si="9"/>
        <v>1.6259602880508517</v>
      </c>
      <c r="I30" s="57">
        <v>20.5</v>
      </c>
      <c r="J30" s="57">
        <f t="shared" si="10"/>
        <v>3.0204248861443626</v>
      </c>
      <c r="K30" s="57">
        <f t="shared" si="11"/>
        <v>4.0136131874090344</v>
      </c>
      <c r="L30" s="57">
        <f t="shared" si="12"/>
        <v>55.346486950371279</v>
      </c>
      <c r="M30" s="57">
        <f t="shared" si="13"/>
        <v>18.448828983457094</v>
      </c>
      <c r="O30" s="57">
        <v>16</v>
      </c>
      <c r="P30" s="57">
        <f t="shared" si="14"/>
        <v>2.7725887222397811</v>
      </c>
      <c r="Q30" s="57">
        <f t="shared" si="15"/>
        <v>2.9243103860747999</v>
      </c>
      <c r="R30" s="57">
        <f t="shared" si="16"/>
        <v>18.621380058026197</v>
      </c>
      <c r="S30" s="57">
        <f t="shared" si="17"/>
        <v>6.2071266860087331</v>
      </c>
      <c r="T30" s="57">
        <f t="shared" si="18"/>
        <v>-46.496434530722254</v>
      </c>
      <c r="U30" s="57">
        <f t="shared" si="19"/>
        <v>3905.8043290528531</v>
      </c>
      <c r="W30" s="59" t="s">
        <v>905</v>
      </c>
      <c r="X30" s="57">
        <v>400</v>
      </c>
      <c r="Y30" s="57">
        <v>23</v>
      </c>
      <c r="Z30" s="57">
        <v>23.99108422733331</v>
      </c>
      <c r="AA30" s="57">
        <f t="shared" si="0"/>
        <v>23.253448542320861</v>
      </c>
      <c r="AB30" s="57">
        <f t="shared" si="1"/>
        <v>6.4236163604569158E-2</v>
      </c>
    </row>
    <row r="31" spans="1:28" x14ac:dyDescent="0.2">
      <c r="B31" s="57">
        <v>14</v>
      </c>
      <c r="C31" s="57">
        <f t="shared" si="6"/>
        <v>2.6390573296152584</v>
      </c>
      <c r="D31" s="57">
        <f t="shared" si="7"/>
        <v>1.9185392093759419</v>
      </c>
      <c r="F31" s="57">
        <f t="shared" si="8"/>
        <v>6.8110017512224816</v>
      </c>
      <c r="G31" s="57">
        <f t="shared" si="9"/>
        <v>2.2703339170741605</v>
      </c>
      <c r="I31" s="57">
        <v>21</v>
      </c>
      <c r="J31" s="57">
        <f t="shared" si="10"/>
        <v>3.044522437723423</v>
      </c>
      <c r="K31" s="57">
        <f t="shared" si="11"/>
        <v>4.0686233097752815</v>
      </c>
      <c r="L31" s="57">
        <f t="shared" si="12"/>
        <v>58.476403259249295</v>
      </c>
      <c r="M31" s="57">
        <f t="shared" si="13"/>
        <v>19.492134419749767</v>
      </c>
      <c r="O31" s="57">
        <v>16.5</v>
      </c>
      <c r="P31" s="57">
        <f t="shared" si="14"/>
        <v>2.8033603809065348</v>
      </c>
      <c r="Q31" s="57">
        <f t="shared" si="15"/>
        <v>3.0316414764706678</v>
      </c>
      <c r="R31" s="57">
        <f t="shared" si="16"/>
        <v>20.731234508733515</v>
      </c>
      <c r="S31" s="57">
        <f t="shared" si="17"/>
        <v>6.9104115029111712</v>
      </c>
      <c r="T31" s="57">
        <f t="shared" si="18"/>
        <v>-51.73597497825488</v>
      </c>
      <c r="U31" s="57">
        <f t="shared" si="19"/>
        <v>4656.1482812330269</v>
      </c>
      <c r="W31" s="59" t="s">
        <v>906</v>
      </c>
      <c r="X31" s="57">
        <f>X26</f>
        <v>-2.9652986157449296E-2</v>
      </c>
      <c r="Y31" s="57">
        <v>23.5</v>
      </c>
      <c r="Z31" s="57">
        <v>25.198307833358996</v>
      </c>
      <c r="AA31" s="57">
        <f t="shared" si="0"/>
        <v>23.615997102977762</v>
      </c>
      <c r="AB31" s="57">
        <f t="shared" si="1"/>
        <v>1.345532789923342E-2</v>
      </c>
    </row>
    <row r="32" spans="1:28" x14ac:dyDescent="0.2">
      <c r="B32" s="57">
        <v>15</v>
      </c>
      <c r="C32" s="57">
        <f t="shared" si="6"/>
        <v>2.7080502011022101</v>
      </c>
      <c r="D32" s="57">
        <f t="shared" si="7"/>
        <v>2.2293259520999738</v>
      </c>
      <c r="F32" s="57">
        <f t="shared" si="8"/>
        <v>9.2935996364608222</v>
      </c>
      <c r="G32" s="57">
        <f t="shared" si="9"/>
        <v>3.0978665454869412</v>
      </c>
      <c r="I32" s="57">
        <v>21.5</v>
      </c>
      <c r="J32" s="57">
        <f t="shared" si="10"/>
        <v>3.068052935133617</v>
      </c>
      <c r="K32" s="57">
        <f t="shared" si="11"/>
        <v>4.1223389554344116</v>
      </c>
      <c r="L32" s="57">
        <f t="shared" si="12"/>
        <v>61.70339510647959</v>
      </c>
      <c r="M32" s="57">
        <f t="shared" si="13"/>
        <v>20.567798368826534</v>
      </c>
      <c r="O32" s="57">
        <v>17</v>
      </c>
      <c r="P32" s="57">
        <f t="shared" si="14"/>
        <v>2.8332133440562162</v>
      </c>
      <c r="Q32" s="57">
        <f t="shared" si="15"/>
        <v>3.1357681704881326</v>
      </c>
      <c r="R32" s="57">
        <f t="shared" si="16"/>
        <v>23.006301818023083</v>
      </c>
      <c r="S32" s="57">
        <f t="shared" si="17"/>
        <v>7.6687672726743612</v>
      </c>
      <c r="T32" s="57">
        <f t="shared" si="18"/>
        <v>-57.385799393339859</v>
      </c>
      <c r="U32" s="57">
        <f t="shared" si="19"/>
        <v>5533.2471513861992</v>
      </c>
      <c r="W32" s="59" t="s">
        <v>907</v>
      </c>
      <c r="X32" s="57">
        <f>X27*-1</f>
        <v>0.291368576921747</v>
      </c>
      <c r="Y32" s="57">
        <v>24</v>
      </c>
      <c r="Z32" s="57">
        <v>26.438935882484401</v>
      </c>
      <c r="AA32" s="57">
        <f t="shared" si="0"/>
        <v>23.976809696478483</v>
      </c>
      <c r="AB32" s="57">
        <f t="shared" si="1"/>
        <v>5.3779017742007691E-4</v>
      </c>
    </row>
    <row r="33" spans="2:28" x14ac:dyDescent="0.2">
      <c r="B33" s="57">
        <v>16</v>
      </c>
      <c r="C33" s="57">
        <f t="shared" si="6"/>
        <v>2.7725887222397811</v>
      </c>
      <c r="D33" s="57">
        <f t="shared" si="7"/>
        <v>2.5200475343777193</v>
      </c>
      <c r="F33" s="57">
        <f t="shared" si="8"/>
        <v>12.429187463227407</v>
      </c>
      <c r="G33" s="57">
        <f t="shared" si="9"/>
        <v>4.14306248774247</v>
      </c>
      <c r="I33" s="57">
        <v>22</v>
      </c>
      <c r="J33" s="57">
        <f t="shared" si="10"/>
        <v>3.0910424533583161</v>
      </c>
      <c r="K33" s="57">
        <f t="shared" si="11"/>
        <v>4.1748196486090947</v>
      </c>
      <c r="L33" s="57">
        <f t="shared" si="12"/>
        <v>65.028110693169467</v>
      </c>
      <c r="M33" s="57">
        <f t="shared" si="13"/>
        <v>21.676036897723158</v>
      </c>
      <c r="O33" s="57">
        <v>17.5</v>
      </c>
      <c r="P33" s="57">
        <f t="shared" si="14"/>
        <v>2.8622008809294686</v>
      </c>
      <c r="Q33" s="57">
        <f t="shared" si="15"/>
        <v>3.2368762704508445</v>
      </c>
      <c r="R33" s="57">
        <f t="shared" si="16"/>
        <v>25.454085751641141</v>
      </c>
      <c r="S33" s="57">
        <f t="shared" si="17"/>
        <v>8.4846952505470483</v>
      </c>
      <c r="T33" s="57">
        <f t="shared" si="18"/>
        <v>-63.464542371421935</v>
      </c>
      <c r="U33" s="57">
        <f t="shared" si="19"/>
        <v>6555.2571214137788</v>
      </c>
      <c r="Y33" s="57">
        <v>24.5</v>
      </c>
      <c r="Z33" s="57">
        <v>27.713167872217973</v>
      </c>
      <c r="AA33" s="57">
        <f t="shared" si="0"/>
        <v>24.335943045746102</v>
      </c>
      <c r="AB33" s="57">
        <f t="shared" si="1"/>
        <v>2.691468423906547E-2</v>
      </c>
    </row>
    <row r="34" spans="2:28" x14ac:dyDescent="0.2">
      <c r="B34" s="57">
        <v>17</v>
      </c>
      <c r="C34" s="57">
        <f t="shared" si="6"/>
        <v>2.8332133440562162</v>
      </c>
      <c r="D34" s="57">
        <f t="shared" si="7"/>
        <v>2.7931384832994426</v>
      </c>
      <c r="F34" s="57">
        <f t="shared" si="8"/>
        <v>16.33219777913893</v>
      </c>
      <c r="G34" s="57">
        <f t="shared" si="9"/>
        <v>5.4440659263796434</v>
      </c>
      <c r="I34" s="57">
        <v>22.5</v>
      </c>
      <c r="J34" s="57">
        <f t="shared" si="10"/>
        <v>3.1135153092103742</v>
      </c>
      <c r="K34" s="57">
        <f t="shared" si="11"/>
        <v>4.2261208999534414</v>
      </c>
      <c r="L34" s="57">
        <f t="shared" si="12"/>
        <v>68.451187495889869</v>
      </c>
      <c r="M34" s="57">
        <f t="shared" si="13"/>
        <v>22.817062498629959</v>
      </c>
      <c r="O34" s="57">
        <v>18</v>
      </c>
      <c r="P34" s="57">
        <f t="shared" si="14"/>
        <v>2.8903717578961645</v>
      </c>
      <c r="Q34" s="57">
        <f t="shared" si="15"/>
        <v>3.3351358727357896</v>
      </c>
      <c r="R34" s="57">
        <f t="shared" si="16"/>
        <v>28.082198569741095</v>
      </c>
      <c r="S34" s="57">
        <f t="shared" si="17"/>
        <v>9.3607328565803662</v>
      </c>
      <c r="T34" s="57">
        <f t="shared" si="18"/>
        <v>-69.991107939249289</v>
      </c>
      <c r="U34" s="57">
        <f t="shared" si="19"/>
        <v>7742.4350763766197</v>
      </c>
      <c r="Y34" s="57">
        <v>25</v>
      </c>
      <c r="Z34" s="57">
        <v>29.021200340787235</v>
      </c>
      <c r="AA34" s="57">
        <f t="shared" si="0"/>
        <v>24.693451133630941</v>
      </c>
      <c r="AB34" s="57">
        <f t="shared" si="1"/>
        <v>9.3972207472155456E-2</v>
      </c>
    </row>
    <row r="35" spans="2:28" x14ac:dyDescent="0.2">
      <c r="B35" s="57">
        <v>18</v>
      </c>
      <c r="C35" s="57">
        <f t="shared" si="6"/>
        <v>2.8903717578961645</v>
      </c>
      <c r="D35" s="57">
        <f t="shared" si="7"/>
        <v>3.0506154787300415</v>
      </c>
      <c r="F35" s="57">
        <f t="shared" si="8"/>
        <v>21.128344468125576</v>
      </c>
      <c r="G35" s="57">
        <f t="shared" si="9"/>
        <v>7.0427814893751917</v>
      </c>
      <c r="I35" s="57">
        <v>23</v>
      </c>
      <c r="J35" s="57">
        <f t="shared" si="10"/>
        <v>3.1354942159291497</v>
      </c>
      <c r="K35" s="57">
        <f t="shared" si="11"/>
        <v>4.2762945594685764</v>
      </c>
      <c r="L35" s="57">
        <f t="shared" si="12"/>
        <v>71.973252681999924</v>
      </c>
      <c r="M35" s="57">
        <f t="shared" si="13"/>
        <v>23.99108422733331</v>
      </c>
      <c r="O35" s="57">
        <v>18.5</v>
      </c>
      <c r="P35" s="57">
        <f t="shared" si="14"/>
        <v>2.917770732084279</v>
      </c>
      <c r="Q35" s="57">
        <f t="shared" si="15"/>
        <v>3.4307030895435018</v>
      </c>
      <c r="R35" s="57">
        <f t="shared" si="16"/>
        <v>30.898359427822832</v>
      </c>
      <c r="S35" s="57">
        <f t="shared" si="17"/>
        <v>10.299453142607611</v>
      </c>
      <c r="T35" s="57">
        <f t="shared" si="18"/>
        <v>-76.984665583820814</v>
      </c>
      <c r="U35" s="57">
        <f t="shared" si="19"/>
        <v>9117.3213616540943</v>
      </c>
      <c r="Y35" s="57">
        <v>25.5</v>
      </c>
      <c r="Z35" s="57">
        <v>30.363226970124565</v>
      </c>
      <c r="AA35" s="57">
        <f t="shared" si="0"/>
        <v>25.049385387119262</v>
      </c>
      <c r="AB35" s="57">
        <f t="shared" si="1"/>
        <v>0.20305352934165738</v>
      </c>
    </row>
    <row r="36" spans="2:28" x14ac:dyDescent="0.2">
      <c r="B36" s="57">
        <v>19</v>
      </c>
      <c r="C36" s="57">
        <f t="shared" si="6"/>
        <v>2.9444389791664403</v>
      </c>
      <c r="D36" s="57">
        <f t="shared" si="7"/>
        <v>3.2941678229734097</v>
      </c>
      <c r="F36" s="57">
        <f t="shared" si="8"/>
        <v>26.954973424263958</v>
      </c>
      <c r="G36" s="57">
        <f t="shared" si="9"/>
        <v>8.9849911414213217</v>
      </c>
      <c r="I36" s="57">
        <v>23.5</v>
      </c>
      <c r="J36" s="57">
        <f t="shared" si="10"/>
        <v>3.1570004211501135</v>
      </c>
      <c r="K36" s="57">
        <f t="shared" si="11"/>
        <v>4.3253891314609794</v>
      </c>
      <c r="L36" s="57">
        <f t="shared" si="12"/>
        <v>75.594923500076973</v>
      </c>
      <c r="M36" s="57">
        <f t="shared" si="13"/>
        <v>25.198307833358996</v>
      </c>
      <c r="O36" s="57">
        <v>19</v>
      </c>
      <c r="P36" s="57">
        <f t="shared" si="14"/>
        <v>2.9444389791664403</v>
      </c>
      <c r="Q36" s="57">
        <f t="shared" si="15"/>
        <v>3.5237215410112244</v>
      </c>
      <c r="R36" s="57">
        <f t="shared" si="16"/>
        <v>33.910392845341917</v>
      </c>
      <c r="S36" s="57">
        <f t="shared" si="17"/>
        <v>11.30346428178064</v>
      </c>
      <c r="T36" s="57">
        <f t="shared" si="18"/>
        <v>-84.464646449382627</v>
      </c>
      <c r="U36" s="57">
        <f t="shared" si="19"/>
        <v>10704.933064895746</v>
      </c>
      <c r="Y36" s="57">
        <v>26</v>
      </c>
      <c r="Z36" s="57">
        <v>31.739438683293599</v>
      </c>
      <c r="AA36" s="57">
        <f t="shared" si="0"/>
        <v>25.403794845826855</v>
      </c>
      <c r="AB36" s="57">
        <f t="shared" si="1"/>
        <v>0.35546058586262336</v>
      </c>
    </row>
    <row r="37" spans="2:28" x14ac:dyDescent="0.2">
      <c r="B37" s="57">
        <v>20</v>
      </c>
      <c r="C37" s="57">
        <f t="shared" si="6"/>
        <v>2.9957322735539909</v>
      </c>
      <c r="D37" s="57">
        <f t="shared" si="7"/>
        <v>3.5252246777284202</v>
      </c>
      <c r="F37" s="57">
        <f t="shared" si="8"/>
        <v>33.961403130033752</v>
      </c>
      <c r="G37" s="57">
        <f t="shared" si="9"/>
        <v>11.320467710011251</v>
      </c>
      <c r="I37" s="57">
        <v>24</v>
      </c>
      <c r="J37" s="57">
        <f t="shared" si="10"/>
        <v>3.1780538303479458</v>
      </c>
      <c r="K37" s="57">
        <f t="shared" si="11"/>
        <v>4.3734500563395802</v>
      </c>
      <c r="L37" s="57">
        <f t="shared" si="12"/>
        <v>79.316807647453203</v>
      </c>
      <c r="M37" s="57">
        <f t="shared" si="13"/>
        <v>26.438935882484401</v>
      </c>
      <c r="O37" s="57">
        <v>19.5</v>
      </c>
      <c r="P37" s="57">
        <f t="shared" si="14"/>
        <v>2.9704144655697009</v>
      </c>
      <c r="Q37" s="57">
        <f t="shared" si="15"/>
        <v>3.6143236534750924</v>
      </c>
      <c r="R37" s="57">
        <f t="shared" si="16"/>
        <v>37.126227237360375</v>
      </c>
      <c r="S37" s="57">
        <f t="shared" si="17"/>
        <v>12.375409079120127</v>
      </c>
      <c r="T37" s="57">
        <f t="shared" si="18"/>
        <v>-92.450739690979688</v>
      </c>
      <c r="U37" s="57">
        <f t="shared" si="19"/>
        <v>12532.968117357495</v>
      </c>
      <c r="AB37" s="57">
        <f>SUM(AB3:AB36)</f>
        <v>5.5942844432473358</v>
      </c>
    </row>
    <row r="38" spans="2:28" x14ac:dyDescent="0.2">
      <c r="B38" s="57">
        <v>21</v>
      </c>
      <c r="C38" s="57">
        <f t="shared" si="6"/>
        <v>3.044522437723423</v>
      </c>
      <c r="D38" s="57">
        <f t="shared" si="7"/>
        <v>3.7450058793567131</v>
      </c>
      <c r="F38" s="57">
        <f t="shared" si="8"/>
        <v>42.30925596931467</v>
      </c>
      <c r="G38" s="57">
        <f t="shared" si="9"/>
        <v>14.10308532310489</v>
      </c>
      <c r="I38" s="57">
        <v>24.5</v>
      </c>
      <c r="J38" s="57">
        <f t="shared" si="10"/>
        <v>3.1986731175506815</v>
      </c>
      <c r="K38" s="57">
        <f t="shared" si="11"/>
        <v>4.4205199633550674</v>
      </c>
      <c r="L38" s="57">
        <f t="shared" si="12"/>
        <v>83.139503616653911</v>
      </c>
      <c r="M38" s="57">
        <f t="shared" si="13"/>
        <v>27.713167872217973</v>
      </c>
      <c r="O38" s="57">
        <v>20</v>
      </c>
      <c r="P38" s="57">
        <f t="shared" si="14"/>
        <v>2.9957322735539909</v>
      </c>
      <c r="Q38" s="57">
        <f t="shared" si="15"/>
        <v>3.7026317933389663</v>
      </c>
      <c r="R38" s="57">
        <f t="shared" si="16"/>
        <v>40.553893505039547</v>
      </c>
      <c r="S38" s="57">
        <f t="shared" si="17"/>
        <v>13.517964501679849</v>
      </c>
      <c r="T38" s="57">
        <f t="shared" si="18"/>
        <v>-100.96288897413399</v>
      </c>
      <c r="U38" s="57">
        <f t="shared" si="19"/>
        <v>14632.020508968666</v>
      </c>
    </row>
    <row r="39" spans="2:28" x14ac:dyDescent="0.2">
      <c r="B39" s="57">
        <v>22</v>
      </c>
      <c r="C39" s="57">
        <f t="shared" si="6"/>
        <v>3.0910424533583161</v>
      </c>
      <c r="D39" s="57">
        <f t="shared" si="7"/>
        <v>3.954560922059549</v>
      </c>
      <c r="F39" s="57">
        <f t="shared" si="8"/>
        <v>52.172780997287077</v>
      </c>
      <c r="G39" s="57">
        <f t="shared" si="9"/>
        <v>17.390926999095694</v>
      </c>
      <c r="I39" s="57">
        <v>25</v>
      </c>
      <c r="J39" s="57">
        <f t="shared" si="10"/>
        <v>3.2188758248682006</v>
      </c>
      <c r="K39" s="57">
        <f t="shared" si="11"/>
        <v>4.4666388978044873</v>
      </c>
      <c r="L39" s="57">
        <f t="shared" si="12"/>
        <v>87.063601022361695</v>
      </c>
      <c r="M39" s="57">
        <f t="shared" si="13"/>
        <v>29.021200340787235</v>
      </c>
      <c r="O39" s="57">
        <v>20.5</v>
      </c>
      <c r="P39" s="57">
        <f t="shared" si="14"/>
        <v>3.0204248861443626</v>
      </c>
      <c r="Q39" s="57">
        <f t="shared" si="15"/>
        <v>3.7887592609138858</v>
      </c>
      <c r="R39" s="57">
        <f t="shared" si="16"/>
        <v>44.2015236811582</v>
      </c>
      <c r="S39" s="57">
        <f t="shared" si="17"/>
        <v>14.733841227052736</v>
      </c>
      <c r="T39" s="57">
        <f t="shared" si="18"/>
        <v>-110.02128911117049</v>
      </c>
      <c r="U39" s="57">
        <f t="shared" si="19"/>
        <v>17035.806911241751</v>
      </c>
    </row>
    <row r="40" spans="2:28" x14ac:dyDescent="0.2">
      <c r="B40" s="57">
        <v>23</v>
      </c>
      <c r="C40" s="57">
        <f t="shared" si="6"/>
        <v>3.1354942159291497</v>
      </c>
      <c r="D40" s="57">
        <f t="shared" si="7"/>
        <v>4.1547992684276096</v>
      </c>
      <c r="F40" s="57">
        <f t="shared" si="8"/>
        <v>63.739168800024515</v>
      </c>
      <c r="G40" s="57">
        <f t="shared" si="9"/>
        <v>21.246389600008172</v>
      </c>
      <c r="I40" s="57">
        <v>25.5</v>
      </c>
      <c r="J40" s="57">
        <f t="shared" si="10"/>
        <v>3.2386784521643803</v>
      </c>
      <c r="K40" s="57">
        <f t="shared" si="11"/>
        <v>4.5118445257356932</v>
      </c>
      <c r="L40" s="57">
        <f t="shared" si="12"/>
        <v>91.089680910373687</v>
      </c>
      <c r="M40" s="57">
        <f t="shared" si="13"/>
        <v>30.363226970124565</v>
      </c>
      <c r="O40" s="57">
        <v>21</v>
      </c>
      <c r="P40" s="57">
        <f t="shared" si="14"/>
        <v>3.044522437723423</v>
      </c>
      <c r="Q40" s="57">
        <f t="shared" si="15"/>
        <v>3.8728111644807743</v>
      </c>
      <c r="R40" s="57">
        <f t="shared" si="16"/>
        <v>48.077349627176332</v>
      </c>
      <c r="S40" s="57">
        <f t="shared" si="17"/>
        <v>16.02578320905878</v>
      </c>
      <c r="T40" s="57">
        <f t="shared" si="18"/>
        <v>-119.64638282554989</v>
      </c>
      <c r="U40" s="57">
        <f t="shared" si="19"/>
        <v>19781.405001911135</v>
      </c>
    </row>
    <row r="41" spans="2:28" x14ac:dyDescent="0.2">
      <c r="B41" s="57">
        <v>24</v>
      </c>
      <c r="C41" s="57">
        <f t="shared" si="6"/>
        <v>3.1780538303479458</v>
      </c>
      <c r="D41" s="57">
        <f t="shared" si="7"/>
        <v>4.3465142043584901</v>
      </c>
      <c r="F41" s="57">
        <f t="shared" si="8"/>
        <v>77.208859001966729</v>
      </c>
      <c r="G41" s="57">
        <f t="shared" si="9"/>
        <v>25.736286333988915</v>
      </c>
      <c r="I41" s="57">
        <v>26</v>
      </c>
      <c r="J41" s="57">
        <f t="shared" si="10"/>
        <v>3.2580965380214821</v>
      </c>
      <c r="K41" s="57">
        <f t="shared" si="11"/>
        <v>4.5561723187736236</v>
      </c>
      <c r="L41" s="57">
        <f t="shared" si="12"/>
        <v>95.218316049880798</v>
      </c>
      <c r="M41" s="57">
        <f t="shared" si="13"/>
        <v>31.739438683293599</v>
      </c>
      <c r="O41" s="57">
        <v>21.5</v>
      </c>
      <c r="P41" s="57">
        <f t="shared" si="14"/>
        <v>3.068052935133617</v>
      </c>
      <c r="Q41" s="57">
        <f t="shared" si="15"/>
        <v>3.9548851914919316</v>
      </c>
      <c r="R41" s="57">
        <f t="shared" si="16"/>
        <v>52.189701778664706</v>
      </c>
      <c r="S41" s="57">
        <f t="shared" si="17"/>
        <v>17.396567259554903</v>
      </c>
      <c r="T41" s="57">
        <f t="shared" si="18"/>
        <v>-129.8588576363112</v>
      </c>
      <c r="U41" s="57">
        <f t="shared" si="19"/>
        <v>22909.503784969122</v>
      </c>
    </row>
    <row r="42" spans="2:28" x14ac:dyDescent="0.2">
      <c r="B42" s="57">
        <v>25</v>
      </c>
      <c r="C42" s="57">
        <f t="shared" si="6"/>
        <v>3.2188758248682006</v>
      </c>
      <c r="D42" s="57">
        <f t="shared" si="7"/>
        <v>4.5304018210791206</v>
      </c>
      <c r="F42" s="57">
        <f t="shared" si="8"/>
        <v>92.795840916633495</v>
      </c>
      <c r="G42" s="57">
        <f t="shared" si="9"/>
        <v>30.931946972211168</v>
      </c>
      <c r="U42" s="57">
        <f>SUM(U29:U41)</f>
        <v>138372.83799935097</v>
      </c>
    </row>
    <row r="43" spans="2:28" x14ac:dyDescent="0.2">
      <c r="B43" s="57">
        <v>26</v>
      </c>
      <c r="C43" s="57">
        <f t="shared" si="6"/>
        <v>3.2580965380214821</v>
      </c>
      <c r="D43" s="57">
        <f t="shared" si="7"/>
        <v>4.7070762720117401</v>
      </c>
      <c r="F43" s="57">
        <f t="shared" si="8"/>
        <v>110.72794778260746</v>
      </c>
      <c r="G43" s="57">
        <f t="shared" si="9"/>
        <v>36.909315927535822</v>
      </c>
    </row>
    <row r="45" spans="2:28" x14ac:dyDescent="0.2">
      <c r="C45" s="57" t="s">
        <v>908</v>
      </c>
      <c r="E45" s="57" t="s">
        <v>909</v>
      </c>
      <c r="G45" s="57" t="s">
        <v>910</v>
      </c>
    </row>
    <row r="47" spans="2:28" x14ac:dyDescent="0.2">
      <c r="B47" s="57" t="s">
        <v>911</v>
      </c>
      <c r="C47" s="57" t="s">
        <v>912</v>
      </c>
      <c r="D47" s="57" t="s">
        <v>895</v>
      </c>
      <c r="E47" s="57" t="s">
        <v>888</v>
      </c>
      <c r="F47" s="57" t="s">
        <v>894</v>
      </c>
      <c r="G47" s="57" t="s">
        <v>887</v>
      </c>
    </row>
    <row r="48" spans="2:28" x14ac:dyDescent="0.2">
      <c r="B48" s="57">
        <v>6.8</v>
      </c>
      <c r="C48" s="57">
        <f>LN(B48)</f>
        <v>1.9169226121820611</v>
      </c>
      <c r="D48" s="57">
        <f>-3.717+2.437*C48</f>
        <v>0.95454040588768274</v>
      </c>
      <c r="E48" s="57">
        <f>EXP(D48)</f>
        <v>2.5974765236320869</v>
      </c>
      <c r="F48" s="57">
        <f>1.388+0.541*C48</f>
        <v>2.425055133190495</v>
      </c>
      <c r="G48" s="57">
        <f>EXP(F48)</f>
        <v>11.302852564425004</v>
      </c>
    </row>
    <row r="49" spans="2:7" x14ac:dyDescent="0.2">
      <c r="B49" s="57">
        <v>8</v>
      </c>
      <c r="C49" s="57">
        <f>LN(B49)</f>
        <v>2.0794415416798357</v>
      </c>
      <c r="D49" s="57">
        <f>-3.717+2.437*C49</f>
        <v>1.3505990370737595</v>
      </c>
      <c r="E49" s="57">
        <f>EXP(D49)</f>
        <v>3.8597369638470829</v>
      </c>
      <c r="F49" s="57">
        <f>1.388+0.541*C49</f>
        <v>2.5129778740487909</v>
      </c>
      <c r="G49" s="57">
        <f>EXP(F49)</f>
        <v>12.341627205028583</v>
      </c>
    </row>
    <row r="50" spans="2:7" x14ac:dyDescent="0.2">
      <c r="B50" s="57">
        <v>9</v>
      </c>
      <c r="C50" s="57">
        <f>LN(B50)</f>
        <v>2.1972245773362196</v>
      </c>
      <c r="D50" s="57">
        <f>-3.717+2.437*C50</f>
        <v>1.6376362949683663</v>
      </c>
      <c r="E50" s="57">
        <f>EXP(D50)</f>
        <v>5.1429986020072347</v>
      </c>
      <c r="F50" s="57">
        <f>1.388+0.541*C50</f>
        <v>2.5766984963388948</v>
      </c>
      <c r="G50" s="57">
        <f>EXP(F50)</f>
        <v>13.153639604538538</v>
      </c>
    </row>
    <row r="51" spans="2:7" x14ac:dyDescent="0.2">
      <c r="B51" s="57">
        <v>10</v>
      </c>
      <c r="C51" s="57">
        <f>LN(B51)</f>
        <v>2.3025850929940459</v>
      </c>
      <c r="D51" s="57">
        <f>-3.717+2.437*C51</f>
        <v>1.8943998716264896</v>
      </c>
      <c r="E51" s="57">
        <f>EXP(D51)</f>
        <v>6.648557219310665</v>
      </c>
      <c r="F51" s="57">
        <f>1.388+0.541*C51</f>
        <v>2.6336985353097786</v>
      </c>
      <c r="G51" s="57">
        <f>EXP(F51)</f>
        <v>13.925177537869557</v>
      </c>
    </row>
    <row r="54" spans="2:7" x14ac:dyDescent="0.2">
      <c r="B54" s="57" t="s">
        <v>913</v>
      </c>
    </row>
    <row r="56" spans="2:7" x14ac:dyDescent="0.2">
      <c r="B56" s="57" t="s">
        <v>910</v>
      </c>
      <c r="C56" s="57" t="s">
        <v>373</v>
      </c>
    </row>
    <row r="57" spans="2:7" x14ac:dyDescent="0.2">
      <c r="B57" s="60" t="s">
        <v>887</v>
      </c>
      <c r="C57" s="60" t="s">
        <v>355</v>
      </c>
    </row>
    <row r="58" spans="2:7" x14ac:dyDescent="0.2">
      <c r="B58" s="60">
        <v>6.94</v>
      </c>
      <c r="C58" s="60">
        <v>4.38</v>
      </c>
    </row>
    <row r="59" spans="2:7" x14ac:dyDescent="0.2">
      <c r="B59" s="60">
        <v>25.6</v>
      </c>
      <c r="C59" s="60">
        <v>9.34</v>
      </c>
    </row>
  </sheetData>
  <phoneticPr fontId="19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8"/>
  <sheetViews>
    <sheetView workbookViewId="0"/>
  </sheetViews>
  <sheetFormatPr baseColWidth="10" defaultColWidth="11.42578125" defaultRowHeight="12.75" x14ac:dyDescent="0.2"/>
  <sheetData>
    <row r="1" spans="1:1" x14ac:dyDescent="0.2">
      <c r="A1" s="3" t="s">
        <v>832</v>
      </c>
    </row>
    <row r="4" spans="1:1" x14ac:dyDescent="0.2">
      <c r="A4" s="3" t="s">
        <v>833</v>
      </c>
    </row>
    <row r="51" spans="1:1" x14ac:dyDescent="0.2">
      <c r="A51" s="3" t="s">
        <v>834</v>
      </c>
    </row>
    <row r="89" spans="1:1" x14ac:dyDescent="0.2">
      <c r="A89" s="3" t="s">
        <v>835</v>
      </c>
    </row>
    <row r="139" spans="1:1" x14ac:dyDescent="0.2">
      <c r="A139" s="3" t="s">
        <v>836</v>
      </c>
    </row>
    <row r="191" spans="1:1" x14ac:dyDescent="0.2">
      <c r="A191" s="3" t="s">
        <v>837</v>
      </c>
    </row>
    <row r="291" spans="1:1" x14ac:dyDescent="0.2">
      <c r="A291" s="3" t="s">
        <v>838</v>
      </c>
    </row>
    <row r="386" spans="1:1" x14ac:dyDescent="0.2">
      <c r="A386" s="3" t="s">
        <v>839</v>
      </c>
    </row>
    <row r="436" spans="1:1" x14ac:dyDescent="0.2">
      <c r="A436" s="3" t="s">
        <v>840</v>
      </c>
    </row>
    <row r="458" spans="1:1" x14ac:dyDescent="0.2">
      <c r="A458" s="3" t="s">
        <v>841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L114"/>
  <sheetViews>
    <sheetView topLeftCell="A53" workbookViewId="0"/>
  </sheetViews>
  <sheetFormatPr baseColWidth="10" defaultColWidth="11.42578125" defaultRowHeight="12.75" x14ac:dyDescent="0.2"/>
  <cols>
    <col min="1" max="5" width="11.42578125" customWidth="1"/>
    <col min="6" max="6" width="14" style="3" customWidth="1"/>
    <col min="7" max="7" width="11.42578125" customWidth="1"/>
    <col min="8" max="8" width="14.7109375" style="3" customWidth="1"/>
  </cols>
  <sheetData>
    <row r="1" spans="1:10" x14ac:dyDescent="0.2">
      <c r="A1" s="11" t="s">
        <v>207</v>
      </c>
      <c r="B1" s="4" t="s">
        <v>398</v>
      </c>
    </row>
    <row r="2" spans="1:10" x14ac:dyDescent="0.2">
      <c r="A2" s="11" t="s">
        <v>962</v>
      </c>
      <c r="B2" s="4" t="s">
        <v>399</v>
      </c>
    </row>
    <row r="3" spans="1:10" x14ac:dyDescent="0.2">
      <c r="A3" s="11" t="s">
        <v>959</v>
      </c>
      <c r="B3" s="4" t="s">
        <v>400</v>
      </c>
    </row>
    <row r="4" spans="1:10" x14ac:dyDescent="0.2">
      <c r="A4" s="11" t="s">
        <v>954</v>
      </c>
      <c r="B4" s="4" t="s">
        <v>401</v>
      </c>
    </row>
    <row r="5" spans="1:10" x14ac:dyDescent="0.2">
      <c r="A5" s="11" t="s">
        <v>955</v>
      </c>
      <c r="B5" s="4"/>
    </row>
    <row r="7" spans="1:10" x14ac:dyDescent="0.2">
      <c r="A7" s="11" t="s">
        <v>759</v>
      </c>
      <c r="B7" s="4" t="s">
        <v>402</v>
      </c>
      <c r="C7" s="4"/>
      <c r="D7" s="4"/>
      <c r="E7" s="4"/>
      <c r="F7" s="4"/>
      <c r="G7" s="4"/>
      <c r="H7" s="4"/>
      <c r="I7" s="4"/>
      <c r="J7" s="4"/>
    </row>
    <row r="8" spans="1:10" x14ac:dyDescent="0.2">
      <c r="A8" s="11" t="s">
        <v>962</v>
      </c>
      <c r="B8" s="11" t="s">
        <v>403</v>
      </c>
      <c r="C8" s="4"/>
      <c r="D8" s="4"/>
      <c r="E8" s="4"/>
      <c r="F8" s="4"/>
      <c r="G8" s="4"/>
      <c r="H8" s="4"/>
      <c r="I8" s="4"/>
      <c r="J8" s="4"/>
    </row>
    <row r="9" spans="1:10" x14ac:dyDescent="0.2">
      <c r="A9" s="11" t="s">
        <v>959</v>
      </c>
      <c r="B9" s="4" t="s">
        <v>404</v>
      </c>
      <c r="C9" s="4"/>
      <c r="D9" s="4"/>
      <c r="E9" s="4"/>
      <c r="F9" s="4"/>
      <c r="G9" s="4"/>
      <c r="H9" s="4" t="s">
        <v>405</v>
      </c>
      <c r="I9" s="4" t="s">
        <v>406</v>
      </c>
      <c r="J9" s="4"/>
    </row>
    <row r="10" spans="1:10" x14ac:dyDescent="0.2">
      <c r="A10" s="11" t="s">
        <v>954</v>
      </c>
      <c r="B10" s="4">
        <v>0.81399999999999995</v>
      </c>
      <c r="C10" s="4">
        <v>7.8E-2</v>
      </c>
      <c r="D10" s="4"/>
      <c r="E10" s="4"/>
      <c r="F10" s="4"/>
      <c r="G10" s="4"/>
      <c r="H10" s="4">
        <v>2</v>
      </c>
      <c r="I10" s="4">
        <v>1.3</v>
      </c>
      <c r="J10" s="4"/>
    </row>
    <row r="11" spans="1:10" x14ac:dyDescent="0.2">
      <c r="A11" s="11" t="s">
        <v>955</v>
      </c>
      <c r="B11" s="33" t="s">
        <v>1045</v>
      </c>
      <c r="C11" s="33" t="s">
        <v>1045</v>
      </c>
      <c r="D11" s="33"/>
      <c r="E11" s="33"/>
      <c r="F11" s="4"/>
      <c r="G11" s="4"/>
      <c r="H11" s="4"/>
      <c r="I11" s="4"/>
      <c r="J11" s="4"/>
    </row>
    <row r="12" spans="1:10" x14ac:dyDescent="0.2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2">
      <c r="A13" s="25" t="s">
        <v>759</v>
      </c>
      <c r="B13" s="3" t="s">
        <v>918</v>
      </c>
    </row>
    <row r="14" spans="1:10" x14ac:dyDescent="0.2">
      <c r="A14" s="25" t="s">
        <v>962</v>
      </c>
    </row>
    <row r="45" spans="1:5" x14ac:dyDescent="0.2">
      <c r="B45" s="3" t="s">
        <v>407</v>
      </c>
      <c r="C45" s="3" t="s">
        <v>408</v>
      </c>
      <c r="D45" s="3" t="s">
        <v>409</v>
      </c>
      <c r="E45" s="3" t="s">
        <v>410</v>
      </c>
    </row>
    <row r="46" spans="1:5" x14ac:dyDescent="0.2">
      <c r="A46" s="3" t="s">
        <v>411</v>
      </c>
      <c r="B46" s="3">
        <v>3</v>
      </c>
      <c r="C46" s="3">
        <v>12.9</v>
      </c>
      <c r="D46" s="3">
        <v>2.6</v>
      </c>
      <c r="E46" s="3">
        <v>15</v>
      </c>
    </row>
    <row r="47" spans="1:5" x14ac:dyDescent="0.2">
      <c r="A47" s="3" t="s">
        <v>412</v>
      </c>
      <c r="B47" s="3">
        <v>10</v>
      </c>
      <c r="C47" s="3">
        <v>24.1</v>
      </c>
      <c r="D47" s="3">
        <v>3.3</v>
      </c>
      <c r="E47" s="3">
        <v>32.4</v>
      </c>
    </row>
    <row r="48" spans="1:5" x14ac:dyDescent="0.2">
      <c r="A48" s="3" t="s">
        <v>413</v>
      </c>
      <c r="B48" s="3">
        <v>12</v>
      </c>
      <c r="C48" s="3">
        <v>32.299999999999997</v>
      </c>
      <c r="D48" s="3">
        <v>4.8</v>
      </c>
      <c r="E48" s="3">
        <v>36.5</v>
      </c>
    </row>
    <row r="49" spans="1:12" x14ac:dyDescent="0.2">
      <c r="A49" s="3" t="s">
        <v>414</v>
      </c>
      <c r="B49" s="3">
        <v>12</v>
      </c>
      <c r="C49" s="3">
        <v>32.5</v>
      </c>
      <c r="D49" s="3">
        <v>4.5</v>
      </c>
      <c r="E49" s="3">
        <v>35.6</v>
      </c>
    </row>
    <row r="50" spans="1:12" x14ac:dyDescent="0.2">
      <c r="A50" s="3" t="s">
        <v>415</v>
      </c>
      <c r="B50" s="3">
        <v>16</v>
      </c>
      <c r="C50" s="3">
        <v>41.2</v>
      </c>
      <c r="D50" s="3">
        <v>5.0999999999999996</v>
      </c>
      <c r="E50" s="3">
        <v>41.2</v>
      </c>
    </row>
    <row r="51" spans="1:12" x14ac:dyDescent="0.2">
      <c r="A51" s="3" t="s">
        <v>416</v>
      </c>
      <c r="B51" s="3">
        <v>19</v>
      </c>
      <c r="C51" s="3">
        <v>49.4</v>
      </c>
      <c r="D51" s="3">
        <v>8.4</v>
      </c>
      <c r="E51" s="3">
        <v>47.5</v>
      </c>
    </row>
    <row r="52" spans="1:12" x14ac:dyDescent="0.2">
      <c r="A52" s="3" t="s">
        <v>417</v>
      </c>
      <c r="B52" s="3">
        <v>9</v>
      </c>
      <c r="C52" s="3">
        <v>25.4</v>
      </c>
      <c r="D52" s="3">
        <v>3.7</v>
      </c>
      <c r="E52" s="3">
        <v>31.6</v>
      </c>
    </row>
    <row r="53" spans="1:12" x14ac:dyDescent="0.2">
      <c r="A53" s="3" t="s">
        <v>418</v>
      </c>
      <c r="B53" s="3">
        <v>20</v>
      </c>
      <c r="C53" s="3">
        <v>27.5</v>
      </c>
      <c r="D53" s="3">
        <v>3.4</v>
      </c>
      <c r="E53" s="3">
        <v>31.3</v>
      </c>
    </row>
    <row r="54" spans="1:12" x14ac:dyDescent="0.2">
      <c r="A54" s="3" t="s">
        <v>419</v>
      </c>
      <c r="B54" s="3">
        <v>20</v>
      </c>
      <c r="C54" s="3">
        <v>26.9</v>
      </c>
      <c r="D54" s="3">
        <v>4.2</v>
      </c>
      <c r="E54" s="3">
        <v>30.3</v>
      </c>
    </row>
    <row r="55" spans="1:12" x14ac:dyDescent="0.2">
      <c r="A55" s="3" t="s">
        <v>420</v>
      </c>
      <c r="B55" s="3">
        <v>9</v>
      </c>
      <c r="C55" s="3">
        <v>25.6</v>
      </c>
      <c r="D55" s="3">
        <v>4.3</v>
      </c>
      <c r="E55" s="3">
        <v>33.1</v>
      </c>
    </row>
    <row r="56" spans="1:12" x14ac:dyDescent="0.2">
      <c r="A56" s="3" t="s">
        <v>421</v>
      </c>
      <c r="B56" s="3">
        <v>9</v>
      </c>
      <c r="C56" s="3">
        <v>22.9</v>
      </c>
      <c r="D56" s="3">
        <v>3.9</v>
      </c>
      <c r="E56" s="3">
        <v>27.7</v>
      </c>
    </row>
    <row r="57" spans="1:12" x14ac:dyDescent="0.2">
      <c r="A57" s="3" t="s">
        <v>422</v>
      </c>
      <c r="B57" s="3">
        <v>9</v>
      </c>
      <c r="C57" s="3">
        <v>22</v>
      </c>
      <c r="D57" s="3">
        <v>3.3</v>
      </c>
      <c r="E57" s="3">
        <v>26.9</v>
      </c>
    </row>
    <row r="58" spans="1:12" x14ac:dyDescent="0.2">
      <c r="A58" s="3" t="s">
        <v>423</v>
      </c>
      <c r="B58" s="3">
        <v>21</v>
      </c>
      <c r="C58" s="3">
        <v>35.6</v>
      </c>
      <c r="D58" s="3">
        <v>5.0999999999999996</v>
      </c>
      <c r="E58" s="3">
        <v>36.9</v>
      </c>
    </row>
    <row r="59" spans="1:12" x14ac:dyDescent="0.2">
      <c r="A59" s="3" t="s">
        <v>424</v>
      </c>
      <c r="B59" s="3">
        <v>1.5</v>
      </c>
      <c r="C59" s="3">
        <v>9.1</v>
      </c>
      <c r="D59" s="3">
        <v>2.8</v>
      </c>
      <c r="E59" s="3">
        <v>11</v>
      </c>
    </row>
    <row r="61" spans="1:12" x14ac:dyDescent="0.2">
      <c r="A61" s="3" t="s">
        <v>425</v>
      </c>
      <c r="C61" s="62" t="s">
        <v>717</v>
      </c>
      <c r="D61" s="62" t="s">
        <v>719</v>
      </c>
      <c r="E61" s="3" t="s">
        <v>426</v>
      </c>
      <c r="G61" s="3" t="s">
        <v>427</v>
      </c>
      <c r="I61" s="56" t="s">
        <v>720</v>
      </c>
      <c r="J61" s="56" t="s">
        <v>919</v>
      </c>
      <c r="K61" s="56"/>
      <c r="L61">
        <v>8.4</v>
      </c>
    </row>
    <row r="62" spans="1:12" x14ac:dyDescent="0.2">
      <c r="C62" s="62" t="s">
        <v>428</v>
      </c>
      <c r="D62" s="62" t="s">
        <v>429</v>
      </c>
      <c r="G62" s="3" t="s">
        <v>430</v>
      </c>
    </row>
    <row r="64" spans="1:12" x14ac:dyDescent="0.2">
      <c r="A64" s="25" t="s">
        <v>759</v>
      </c>
      <c r="B64" s="3" t="s">
        <v>431</v>
      </c>
    </row>
    <row r="66" spans="1:5" x14ac:dyDescent="0.2">
      <c r="A66" s="3" t="s">
        <v>432</v>
      </c>
      <c r="C66" s="28" t="s">
        <v>433</v>
      </c>
      <c r="D66" s="28" t="s">
        <v>434</v>
      </c>
      <c r="E66" s="28" t="s">
        <v>163</v>
      </c>
    </row>
    <row r="67" spans="1:5" x14ac:dyDescent="0.2">
      <c r="B67" s="3" t="s">
        <v>435</v>
      </c>
      <c r="C67" s="3">
        <v>4.0000000000000001E-3</v>
      </c>
      <c r="D67" s="3">
        <v>0.29499999999999998</v>
      </c>
      <c r="E67" s="3">
        <v>0.08</v>
      </c>
    </row>
    <row r="68" spans="1:5" x14ac:dyDescent="0.2">
      <c r="B68" s="3" t="s">
        <v>436</v>
      </c>
      <c r="C68" s="3">
        <v>0.66</v>
      </c>
      <c r="D68" s="3">
        <v>20.100000000000001</v>
      </c>
      <c r="E68" s="3">
        <v>5.875</v>
      </c>
    </row>
    <row r="87" spans="1:3" x14ac:dyDescent="0.2">
      <c r="A87" s="25" t="s">
        <v>759</v>
      </c>
      <c r="B87" s="3" t="s">
        <v>437</v>
      </c>
    </row>
    <row r="88" spans="1:3" x14ac:dyDescent="0.2">
      <c r="A88" s="3" t="s">
        <v>438</v>
      </c>
    </row>
    <row r="89" spans="1:3" x14ac:dyDescent="0.2">
      <c r="A89" s="3" t="s">
        <v>439</v>
      </c>
    </row>
    <row r="90" spans="1:3" x14ac:dyDescent="0.2">
      <c r="B90" s="3" t="s">
        <v>440</v>
      </c>
      <c r="C90" s="3" t="s">
        <v>441</v>
      </c>
    </row>
    <row r="91" spans="1:3" x14ac:dyDescent="0.2">
      <c r="B91" s="26">
        <v>17.5</v>
      </c>
      <c r="C91" s="3">
        <v>6.2</v>
      </c>
    </row>
    <row r="92" spans="1:3" x14ac:dyDescent="0.2">
      <c r="B92" s="3">
        <v>16.899999999999999</v>
      </c>
      <c r="C92" s="3">
        <v>4.8</v>
      </c>
    </row>
    <row r="93" spans="1:3" x14ac:dyDescent="0.2">
      <c r="B93" s="3">
        <v>16</v>
      </c>
      <c r="C93" s="3">
        <v>3.9</v>
      </c>
    </row>
    <row r="94" spans="1:3" x14ac:dyDescent="0.2">
      <c r="B94" s="3">
        <v>12.2</v>
      </c>
      <c r="C94" s="3">
        <v>3.4</v>
      </c>
    </row>
    <row r="95" spans="1:3" x14ac:dyDescent="0.2">
      <c r="B95" s="3">
        <v>3.71</v>
      </c>
      <c r="C95" s="3">
        <v>0.81</v>
      </c>
    </row>
    <row r="97" spans="1:3" x14ac:dyDescent="0.2">
      <c r="B97" s="3" t="s">
        <v>442</v>
      </c>
    </row>
    <row r="98" spans="1:3" x14ac:dyDescent="0.2">
      <c r="B98" s="3" t="s">
        <v>443</v>
      </c>
    </row>
    <row r="108" spans="1:3" x14ac:dyDescent="0.2">
      <c r="A108" s="1" t="s">
        <v>82</v>
      </c>
      <c r="B108" s="3" t="s">
        <v>444</v>
      </c>
    </row>
    <row r="109" spans="1:3" x14ac:dyDescent="0.2">
      <c r="B109" s="1" t="s">
        <v>445</v>
      </c>
    </row>
    <row r="110" spans="1:3" x14ac:dyDescent="0.2">
      <c r="B110" s="3" t="s">
        <v>719</v>
      </c>
      <c r="C110" s="3">
        <v>-0.76759999999999995</v>
      </c>
    </row>
    <row r="111" spans="1:3" x14ac:dyDescent="0.2">
      <c r="B111" s="3" t="s">
        <v>717</v>
      </c>
      <c r="C111" s="3">
        <v>0.82120000000000004</v>
      </c>
    </row>
    <row r="112" spans="1:3" x14ac:dyDescent="0.2">
      <c r="B112" s="3" t="s">
        <v>446</v>
      </c>
    </row>
    <row r="114" spans="1:1" x14ac:dyDescent="0.2">
      <c r="A114" s="3" t="s">
        <v>447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H29"/>
  <sheetViews>
    <sheetView workbookViewId="0">
      <selection activeCell="F41" sqref="F41"/>
    </sheetView>
  </sheetViews>
  <sheetFormatPr baseColWidth="10" defaultColWidth="9.140625" defaultRowHeight="12.75" x14ac:dyDescent="0.2"/>
  <cols>
    <col min="1" max="16384" width="9.140625" style="57"/>
  </cols>
  <sheetData>
    <row r="1" spans="1:8" x14ac:dyDescent="0.2">
      <c r="A1" s="57" t="s">
        <v>885</v>
      </c>
    </row>
    <row r="2" spans="1:8" x14ac:dyDescent="0.2">
      <c r="A2" s="57" t="s">
        <v>918</v>
      </c>
    </row>
    <row r="5" spans="1:8" x14ac:dyDescent="0.2">
      <c r="A5" s="57" t="s">
        <v>614</v>
      </c>
      <c r="B5" s="60">
        <v>1.0429999999999999</v>
      </c>
      <c r="D5" s="60">
        <v>0.77</v>
      </c>
      <c r="H5" s="60">
        <v>-0.51200000000000001</v>
      </c>
    </row>
    <row r="6" spans="1:8" x14ac:dyDescent="0.2">
      <c r="B6" s="60">
        <v>3.7999999999999999E-2</v>
      </c>
      <c r="D6" s="60">
        <v>1.9E-2</v>
      </c>
      <c r="F6" s="63" t="s">
        <v>920</v>
      </c>
      <c r="H6" s="60">
        <v>-0.40699999999999997</v>
      </c>
    </row>
    <row r="7" spans="1:8" x14ac:dyDescent="0.2">
      <c r="B7" s="57" t="s">
        <v>908</v>
      </c>
      <c r="C7" s="57" t="s">
        <v>910</v>
      </c>
      <c r="D7" s="57" t="s">
        <v>910</v>
      </c>
      <c r="E7" s="57" t="s">
        <v>910</v>
      </c>
      <c r="F7" s="57" t="s">
        <v>917</v>
      </c>
      <c r="H7" s="60">
        <v>1.1930000000000001</v>
      </c>
    </row>
    <row r="8" spans="1:8" x14ac:dyDescent="0.2">
      <c r="B8" s="57" t="s">
        <v>914</v>
      </c>
      <c r="C8" s="57" t="s">
        <v>915</v>
      </c>
      <c r="D8" s="57" t="s">
        <v>887</v>
      </c>
      <c r="E8" s="57" t="s">
        <v>916</v>
      </c>
      <c r="F8" s="57" t="s">
        <v>916</v>
      </c>
    </row>
    <row r="9" spans="1:8" x14ac:dyDescent="0.2">
      <c r="B9" s="57">
        <v>1</v>
      </c>
      <c r="C9" s="57">
        <f t="shared" ref="C9:C29" si="0">B9/($B$5+$B$6*B9)</f>
        <v>0.92506938020351526</v>
      </c>
      <c r="D9" s="57">
        <f t="shared" ref="D9:D29" si="1">B9/($D$5+$D$6*B9)</f>
        <v>1.2674271229404308</v>
      </c>
      <c r="E9" s="57">
        <f t="shared" ref="E9:E29" si="2">D9-C9</f>
        <v>0.34235774273691555</v>
      </c>
      <c r="F9" s="57">
        <f t="shared" ref="F9:F29" si="3">$H$5+$H$6*B9+$H$7*D9</f>
        <v>0.59304055766793407</v>
      </c>
    </row>
    <row r="10" spans="1:8" x14ac:dyDescent="0.2">
      <c r="B10" s="57">
        <v>2</v>
      </c>
      <c r="C10" s="57">
        <f t="shared" si="0"/>
        <v>1.7873100983020553</v>
      </c>
      <c r="D10" s="57">
        <f t="shared" si="1"/>
        <v>2.4752475247524752</v>
      </c>
      <c r="E10" s="57">
        <f t="shared" si="2"/>
        <v>0.68793742645041989</v>
      </c>
      <c r="F10" s="57">
        <f t="shared" si="3"/>
        <v>1.6269702970297031</v>
      </c>
    </row>
    <row r="11" spans="1:8" x14ac:dyDescent="0.2">
      <c r="B11" s="57">
        <v>4</v>
      </c>
      <c r="C11" s="57">
        <f t="shared" si="0"/>
        <v>3.3472803347280338</v>
      </c>
      <c r="D11" s="57">
        <f t="shared" si="1"/>
        <v>4.7281323877068555</v>
      </c>
      <c r="E11" s="57">
        <f t="shared" si="2"/>
        <v>1.3808520529788217</v>
      </c>
      <c r="F11" s="57">
        <f t="shared" si="3"/>
        <v>3.5006619385342796</v>
      </c>
    </row>
    <row r="12" spans="1:8" x14ac:dyDescent="0.2">
      <c r="B12" s="57">
        <v>6</v>
      </c>
      <c r="C12" s="57">
        <f t="shared" si="0"/>
        <v>4.7206923682140047</v>
      </c>
      <c r="D12" s="57">
        <f t="shared" si="1"/>
        <v>6.7873303167420813</v>
      </c>
      <c r="E12" s="57">
        <f t="shared" si="2"/>
        <v>2.0666379485280766</v>
      </c>
      <c r="F12" s="57">
        <f t="shared" si="3"/>
        <v>5.1432850678733031</v>
      </c>
    </row>
    <row r="13" spans="1:8" x14ac:dyDescent="0.2">
      <c r="B13" s="57">
        <v>8</v>
      </c>
      <c r="C13" s="57">
        <f t="shared" si="0"/>
        <v>5.9391239792130666</v>
      </c>
      <c r="D13" s="57">
        <f t="shared" si="1"/>
        <v>8.676789587852495</v>
      </c>
      <c r="E13" s="57">
        <f t="shared" si="2"/>
        <v>2.7376656086394284</v>
      </c>
      <c r="F13" s="57">
        <f t="shared" si="3"/>
        <v>6.5834099783080271</v>
      </c>
    </row>
    <row r="14" spans="1:8" x14ac:dyDescent="0.2">
      <c r="B14" s="57">
        <v>10</v>
      </c>
      <c r="C14" s="57">
        <f t="shared" si="0"/>
        <v>7.0274068868587491</v>
      </c>
      <c r="D14" s="57">
        <f t="shared" si="1"/>
        <v>10.416666666666668</v>
      </c>
      <c r="E14" s="57">
        <f t="shared" si="2"/>
        <v>3.3892597798079187</v>
      </c>
      <c r="F14" s="57">
        <f t="shared" si="3"/>
        <v>7.8450833333333367</v>
      </c>
    </row>
    <row r="15" spans="1:8" x14ac:dyDescent="0.2">
      <c r="B15" s="57">
        <v>12</v>
      </c>
      <c r="C15" s="57">
        <f t="shared" si="0"/>
        <v>8.0053368912608409</v>
      </c>
      <c r="D15" s="57">
        <f t="shared" si="1"/>
        <v>12.024048096192384</v>
      </c>
      <c r="E15" s="57">
        <f t="shared" si="2"/>
        <v>4.0187112049315434</v>
      </c>
      <c r="F15" s="57">
        <f t="shared" si="3"/>
        <v>8.9486893787575159</v>
      </c>
    </row>
    <row r="16" spans="1:8" x14ac:dyDescent="0.2">
      <c r="B16" s="57">
        <v>14</v>
      </c>
      <c r="C16" s="57">
        <f t="shared" si="0"/>
        <v>8.8888888888888893</v>
      </c>
      <c r="D16" s="57">
        <f t="shared" si="1"/>
        <v>13.513513513513512</v>
      </c>
      <c r="E16" s="57">
        <f t="shared" si="2"/>
        <v>4.624624624624623</v>
      </c>
      <c r="F16" s="57">
        <f t="shared" si="3"/>
        <v>9.911621621621622</v>
      </c>
    </row>
    <row r="17" spans="2:6" x14ac:dyDescent="0.2">
      <c r="B17" s="57">
        <v>16</v>
      </c>
      <c r="C17" s="57">
        <f t="shared" si="0"/>
        <v>9.691096305269534</v>
      </c>
      <c r="D17" s="57">
        <f t="shared" si="1"/>
        <v>14.897579143389198</v>
      </c>
      <c r="E17" s="57">
        <f t="shared" si="2"/>
        <v>5.2064828381196637</v>
      </c>
      <c r="F17" s="57">
        <f t="shared" si="3"/>
        <v>10.748811918063316</v>
      </c>
    </row>
    <row r="18" spans="2:6" x14ac:dyDescent="0.2">
      <c r="B18" s="57">
        <v>18</v>
      </c>
      <c r="C18" s="57">
        <f t="shared" si="0"/>
        <v>10.422698320787493</v>
      </c>
      <c r="D18" s="57">
        <f t="shared" si="1"/>
        <v>16.187050359712227</v>
      </c>
      <c r="E18" s="57">
        <f t="shared" si="2"/>
        <v>5.7643520389247342</v>
      </c>
      <c r="F18" s="57">
        <f t="shared" si="3"/>
        <v>11.47315107913669</v>
      </c>
    </row>
    <row r="19" spans="2:6" x14ac:dyDescent="0.2">
      <c r="B19" s="57">
        <v>20</v>
      </c>
      <c r="C19" s="57">
        <f t="shared" si="0"/>
        <v>11.092623405435386</v>
      </c>
      <c r="D19" s="57">
        <f t="shared" si="1"/>
        <v>17.39130434782609</v>
      </c>
      <c r="E19" s="57">
        <f t="shared" si="2"/>
        <v>6.2986809423907033</v>
      </c>
      <c r="F19" s="57">
        <f t="shared" si="3"/>
        <v>12.095826086956526</v>
      </c>
    </row>
    <row r="20" spans="2:6" x14ac:dyDescent="0.2">
      <c r="B20" s="57">
        <v>22</v>
      </c>
      <c r="C20" s="57">
        <f t="shared" si="0"/>
        <v>11.708355508249069</v>
      </c>
      <c r="D20" s="57">
        <f t="shared" si="1"/>
        <v>18.518518518518519</v>
      </c>
      <c r="E20" s="57">
        <f t="shared" si="2"/>
        <v>6.8101630102694504</v>
      </c>
      <c r="F20" s="57">
        <f t="shared" si="3"/>
        <v>12.626592592592596</v>
      </c>
    </row>
    <row r="21" spans="2:6" x14ac:dyDescent="0.2">
      <c r="B21" s="57">
        <v>24</v>
      </c>
      <c r="C21" s="57">
        <f t="shared" si="0"/>
        <v>12.276214833759592</v>
      </c>
      <c r="D21" s="57">
        <f t="shared" si="1"/>
        <v>19.575856443719413</v>
      </c>
      <c r="E21" s="57">
        <f t="shared" si="2"/>
        <v>7.2996416099598207</v>
      </c>
      <c r="F21" s="57">
        <f t="shared" si="3"/>
        <v>13.073996737357261</v>
      </c>
    </row>
    <row r="22" spans="2:6" x14ac:dyDescent="0.2">
      <c r="B22" s="57">
        <v>26</v>
      </c>
      <c r="C22" s="57">
        <f t="shared" si="0"/>
        <v>12.801575578532745</v>
      </c>
      <c r="D22" s="57">
        <f t="shared" si="1"/>
        <v>20.569620253164558</v>
      </c>
      <c r="E22" s="57">
        <f t="shared" si="2"/>
        <v>7.7680446746318133</v>
      </c>
      <c r="F22" s="57">
        <f t="shared" si="3"/>
        <v>13.44555696202532</v>
      </c>
    </row>
    <row r="23" spans="2:6" x14ac:dyDescent="0.2">
      <c r="B23" s="57">
        <v>28</v>
      </c>
      <c r="C23" s="57">
        <f t="shared" si="0"/>
        <v>13.289036544850497</v>
      </c>
      <c r="D23" s="57">
        <f t="shared" si="1"/>
        <v>21.50537634408602</v>
      </c>
      <c r="E23" s="57">
        <f t="shared" si="2"/>
        <v>8.2163397992355236</v>
      </c>
      <c r="F23" s="57">
        <f t="shared" si="3"/>
        <v>13.747913978494624</v>
      </c>
    </row>
    <row r="24" spans="2:6" x14ac:dyDescent="0.2">
      <c r="B24" s="57">
        <v>30</v>
      </c>
      <c r="C24" s="57">
        <f t="shared" si="0"/>
        <v>13.742556115437472</v>
      </c>
      <c r="D24" s="57">
        <f t="shared" si="1"/>
        <v>22.388059701492541</v>
      </c>
      <c r="E24" s="57">
        <f t="shared" si="2"/>
        <v>8.6455035860550691</v>
      </c>
      <c r="F24" s="57">
        <f t="shared" si="3"/>
        <v>13.986955223880601</v>
      </c>
    </row>
    <row r="25" spans="2:6" x14ac:dyDescent="0.2">
      <c r="B25" s="57">
        <v>32</v>
      </c>
      <c r="C25" s="57">
        <f t="shared" si="0"/>
        <v>14.16555998229305</v>
      </c>
      <c r="D25" s="57">
        <f t="shared" si="1"/>
        <v>23.222060957910013</v>
      </c>
      <c r="E25" s="57">
        <f t="shared" si="2"/>
        <v>9.056500975616963</v>
      </c>
      <c r="F25" s="57">
        <f t="shared" si="3"/>
        <v>14.167918722786647</v>
      </c>
    </row>
    <row r="26" spans="2:6" x14ac:dyDescent="0.2">
      <c r="B26" s="57">
        <v>34</v>
      </c>
      <c r="C26" s="57">
        <f t="shared" si="0"/>
        <v>14.5610278372591</v>
      </c>
      <c r="D26" s="57">
        <f t="shared" si="1"/>
        <v>24.011299435028249</v>
      </c>
      <c r="E26" s="57">
        <f t="shared" si="2"/>
        <v>9.4502715977691487</v>
      </c>
      <c r="F26" s="57">
        <f t="shared" si="3"/>
        <v>14.295480225988703</v>
      </c>
    </row>
    <row r="27" spans="2:6" x14ac:dyDescent="0.2">
      <c r="B27" s="57">
        <v>36</v>
      </c>
      <c r="C27" s="57">
        <f t="shared" si="0"/>
        <v>14.931563666528413</v>
      </c>
      <c r="D27" s="57">
        <f t="shared" si="1"/>
        <v>24.759284731774414</v>
      </c>
      <c r="E27" s="57">
        <f t="shared" si="2"/>
        <v>9.827721065246001</v>
      </c>
      <c r="F27" s="57">
        <f t="shared" si="3"/>
        <v>14.373826685006877</v>
      </c>
    </row>
    <row r="28" spans="2:6" x14ac:dyDescent="0.2">
      <c r="B28" s="57">
        <v>38</v>
      </c>
      <c r="C28" s="57">
        <f t="shared" si="0"/>
        <v>15.279453156413348</v>
      </c>
      <c r="D28" s="57">
        <f t="shared" si="1"/>
        <v>25.469168900804291</v>
      </c>
      <c r="E28" s="57">
        <f t="shared" si="2"/>
        <v>10.189715744390943</v>
      </c>
      <c r="F28" s="57">
        <f t="shared" si="3"/>
        <v>14.40671849865952</v>
      </c>
    </row>
    <row r="29" spans="2:6" x14ac:dyDescent="0.2">
      <c r="B29" s="57">
        <v>40</v>
      </c>
      <c r="C29" s="57">
        <f t="shared" si="0"/>
        <v>15.606710885680844</v>
      </c>
      <c r="D29" s="57">
        <f t="shared" si="1"/>
        <v>26.143790849673202</v>
      </c>
      <c r="E29" s="57">
        <f t="shared" si="2"/>
        <v>10.537079963992358</v>
      </c>
      <c r="F29" s="57">
        <f t="shared" si="3"/>
        <v>14.397542483660132</v>
      </c>
    </row>
  </sheetData>
  <phoneticPr fontId="19" type="noConversion"/>
  <pageMargins left="0.78740157499999996" right="0.78740157499999996" top="0.984251969" bottom="0.984251969" header="0.5" footer="0.5"/>
  <headerFooter alignWithMargins="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I96"/>
  <sheetViews>
    <sheetView topLeftCell="A54" workbookViewId="0">
      <selection activeCell="D99" sqref="D99"/>
    </sheetView>
  </sheetViews>
  <sheetFormatPr baseColWidth="10" defaultColWidth="11.42578125" defaultRowHeight="12.75" x14ac:dyDescent="0.2"/>
  <sheetData>
    <row r="1" spans="1:9" x14ac:dyDescent="0.2">
      <c r="A1" s="3" t="s">
        <v>759</v>
      </c>
      <c r="B1" s="3" t="s">
        <v>195</v>
      </c>
    </row>
    <row r="3" spans="1:9" x14ac:dyDescent="0.2">
      <c r="A3" s="3" t="s">
        <v>614</v>
      </c>
      <c r="B3" s="3" t="s">
        <v>448</v>
      </c>
    </row>
    <row r="4" spans="1:9" x14ac:dyDescent="0.2">
      <c r="A4" s="3" t="s">
        <v>954</v>
      </c>
      <c r="B4" s="3">
        <v>11</v>
      </c>
    </row>
    <row r="5" spans="1:9" x14ac:dyDescent="0.2">
      <c r="A5" s="3" t="s">
        <v>955</v>
      </c>
      <c r="B5" s="3" t="s">
        <v>449</v>
      </c>
    </row>
    <row r="7" spans="1:9" x14ac:dyDescent="0.2">
      <c r="A7" s="3" t="s">
        <v>614</v>
      </c>
      <c r="B7" s="3" t="s">
        <v>450</v>
      </c>
    </row>
    <row r="8" spans="1:9" x14ac:dyDescent="0.2">
      <c r="A8" s="3" t="s">
        <v>954</v>
      </c>
      <c r="B8" s="1">
        <v>4</v>
      </c>
    </row>
    <row r="9" spans="1:9" x14ac:dyDescent="0.2">
      <c r="A9" s="3" t="s">
        <v>955</v>
      </c>
      <c r="B9" s="3" t="s">
        <v>449</v>
      </c>
    </row>
    <row r="10" spans="1:9" x14ac:dyDescent="0.2">
      <c r="B10" s="3" t="s">
        <v>451</v>
      </c>
    </row>
    <row r="12" spans="1:9" x14ac:dyDescent="0.2">
      <c r="A12" s="3" t="s">
        <v>759</v>
      </c>
      <c r="B12" s="3" t="s">
        <v>849</v>
      </c>
    </row>
    <row r="13" spans="1:9" x14ac:dyDescent="0.2">
      <c r="B13" s="3" t="s">
        <v>452</v>
      </c>
      <c r="C13" s="3" t="s">
        <v>453</v>
      </c>
      <c r="E13" s="3" t="s">
        <v>454</v>
      </c>
      <c r="G13" s="3" t="s">
        <v>455</v>
      </c>
    </row>
    <row r="14" spans="1:9" x14ac:dyDescent="0.2">
      <c r="B14" s="3" t="s">
        <v>456</v>
      </c>
      <c r="C14" s="3" t="s">
        <v>449</v>
      </c>
      <c r="E14" s="3" t="s">
        <v>449</v>
      </c>
      <c r="G14" s="3" t="s">
        <v>449</v>
      </c>
    </row>
    <row r="15" spans="1:9" x14ac:dyDescent="0.2">
      <c r="B15" s="3" t="s">
        <v>457</v>
      </c>
      <c r="C15" s="3" t="s">
        <v>458</v>
      </c>
      <c r="D15" s="3">
        <v>4.4000000000000004</v>
      </c>
      <c r="E15" s="3" t="s">
        <v>811</v>
      </c>
      <c r="F15" s="3" t="s">
        <v>459</v>
      </c>
      <c r="G15" s="1" t="s">
        <v>793</v>
      </c>
      <c r="H15" s="3" t="s">
        <v>460</v>
      </c>
      <c r="I15" s="1" t="str">
        <f>R15&amp;" "&amp;G15</f>
        <v xml:space="preserve"> E. grandis</v>
      </c>
    </row>
    <row r="16" spans="1:9" x14ac:dyDescent="0.2">
      <c r="C16" s="3" t="s">
        <v>461</v>
      </c>
      <c r="D16" s="3">
        <v>6.7</v>
      </c>
      <c r="E16" s="1" t="s">
        <v>778</v>
      </c>
      <c r="F16" s="3" t="s">
        <v>462</v>
      </c>
      <c r="G16" s="3" t="s">
        <v>463</v>
      </c>
      <c r="H16" s="3">
        <v>13.4</v>
      </c>
      <c r="I16" s="3" t="str">
        <f>R16&amp;" "&amp;G16</f>
        <v xml:space="preserve"> E. macrorhyncha</v>
      </c>
    </row>
    <row r="17" spans="1:9" x14ac:dyDescent="0.2">
      <c r="C17" s="3" t="s">
        <v>464</v>
      </c>
      <c r="D17" s="3">
        <v>3.6</v>
      </c>
      <c r="G17" s="3" t="s">
        <v>465</v>
      </c>
      <c r="H17" s="3">
        <v>18.3</v>
      </c>
      <c r="I17" s="3" t="str">
        <f>R17&amp;" "&amp;G17</f>
        <v xml:space="preserve"> E. goniocalyx</v>
      </c>
    </row>
    <row r="18" spans="1:9" x14ac:dyDescent="0.2">
      <c r="C18" s="3" t="s">
        <v>466</v>
      </c>
      <c r="D18" s="3">
        <v>2.2000000000000002</v>
      </c>
    </row>
    <row r="19" spans="1:9" x14ac:dyDescent="0.2">
      <c r="C19" s="3" t="s">
        <v>467</v>
      </c>
      <c r="D19" s="3">
        <v>8.3000000000000007</v>
      </c>
    </row>
    <row r="20" spans="1:9" x14ac:dyDescent="0.2">
      <c r="C20" s="3" t="s">
        <v>468</v>
      </c>
      <c r="D20" s="3">
        <v>7.8</v>
      </c>
    </row>
    <row r="21" spans="1:9" x14ac:dyDescent="0.2">
      <c r="C21" s="3" t="s">
        <v>469</v>
      </c>
      <c r="D21" s="3">
        <v>5.6</v>
      </c>
    </row>
    <row r="22" spans="1:9" x14ac:dyDescent="0.2">
      <c r="C22" s="3" t="s">
        <v>470</v>
      </c>
      <c r="D22" s="3" t="s">
        <v>471</v>
      </c>
    </row>
    <row r="25" spans="1:9" x14ac:dyDescent="0.2">
      <c r="A25" s="3" t="s">
        <v>759</v>
      </c>
      <c r="B25" s="3" t="s">
        <v>472</v>
      </c>
    </row>
    <row r="26" spans="1:9" x14ac:dyDescent="0.2">
      <c r="B26" s="3" t="s">
        <v>473</v>
      </c>
      <c r="C26" s="3" t="s">
        <v>474</v>
      </c>
      <c r="D26" s="3" t="s">
        <v>475</v>
      </c>
    </row>
    <row r="27" spans="1:9" x14ac:dyDescent="0.2">
      <c r="D27" s="3" t="s">
        <v>476</v>
      </c>
      <c r="E27" s="3" t="s">
        <v>477</v>
      </c>
      <c r="F27" s="3" t="s">
        <v>478</v>
      </c>
      <c r="G27" s="3">
        <v>58</v>
      </c>
      <c r="H27" s="3">
        <v>240</v>
      </c>
    </row>
    <row r="28" spans="1:9" x14ac:dyDescent="0.2">
      <c r="B28" s="3" t="s">
        <v>479</v>
      </c>
      <c r="C28" s="3" t="s">
        <v>480</v>
      </c>
      <c r="D28" s="3">
        <v>71.099999999999994</v>
      </c>
      <c r="E28" s="3">
        <v>57.9</v>
      </c>
      <c r="F28" s="3">
        <v>60.8</v>
      </c>
      <c r="G28" s="3">
        <v>55.7</v>
      </c>
      <c r="H28" s="3">
        <v>52.2</v>
      </c>
    </row>
    <row r="29" spans="1:9" x14ac:dyDescent="0.2">
      <c r="C29" s="3" t="s">
        <v>481</v>
      </c>
      <c r="D29" s="3">
        <v>67.8</v>
      </c>
      <c r="E29" s="3">
        <v>60.6</v>
      </c>
      <c r="F29" s="3">
        <v>57.4</v>
      </c>
      <c r="G29" s="3">
        <v>59.1</v>
      </c>
      <c r="H29" s="3">
        <v>49.5</v>
      </c>
    </row>
    <row r="30" spans="1:9" x14ac:dyDescent="0.2">
      <c r="B30" s="3" t="s">
        <v>482</v>
      </c>
    </row>
    <row r="31" spans="1:9" x14ac:dyDescent="0.2">
      <c r="B31" s="3" t="s">
        <v>483</v>
      </c>
    </row>
    <row r="34" spans="1:2" x14ac:dyDescent="0.2">
      <c r="A34" s="3" t="s">
        <v>759</v>
      </c>
      <c r="B34" s="3" t="s">
        <v>127</v>
      </c>
    </row>
    <row r="35" spans="1:2" x14ac:dyDescent="0.2">
      <c r="A35" s="3" t="s">
        <v>614</v>
      </c>
      <c r="B35" s="3" t="s">
        <v>484</v>
      </c>
    </row>
    <row r="36" spans="1:2" x14ac:dyDescent="0.2">
      <c r="B36" s="3" t="s">
        <v>485</v>
      </c>
    </row>
    <row r="37" spans="1:2" x14ac:dyDescent="0.2">
      <c r="A37" s="3" t="s">
        <v>954</v>
      </c>
      <c r="B37" s="3" t="s">
        <v>486</v>
      </c>
    </row>
    <row r="38" spans="1:2" x14ac:dyDescent="0.2">
      <c r="B38" s="3" t="s">
        <v>370</v>
      </c>
    </row>
    <row r="40" spans="1:2" x14ac:dyDescent="0.2">
      <c r="A40" s="3" t="s">
        <v>759</v>
      </c>
      <c r="B40" s="3" t="s">
        <v>867</v>
      </c>
    </row>
    <row r="41" spans="1:2" x14ac:dyDescent="0.2">
      <c r="A41" s="3" t="s">
        <v>614</v>
      </c>
      <c r="B41" s="3" t="s">
        <v>487</v>
      </c>
    </row>
    <row r="42" spans="1:2" x14ac:dyDescent="0.2">
      <c r="A42" s="3" t="s">
        <v>954</v>
      </c>
      <c r="B42" s="3">
        <v>8.8000000000000007</v>
      </c>
    </row>
    <row r="43" spans="1:2" x14ac:dyDescent="0.2">
      <c r="A43" s="3" t="s">
        <v>955</v>
      </c>
      <c r="B43" s="3" t="s">
        <v>370</v>
      </c>
    </row>
    <row r="46" spans="1:2" x14ac:dyDescent="0.2">
      <c r="A46" s="3" t="s">
        <v>759</v>
      </c>
      <c r="B46" s="3" t="s">
        <v>283</v>
      </c>
    </row>
    <row r="47" spans="1:2" x14ac:dyDescent="0.2">
      <c r="A47" s="3" t="s">
        <v>977</v>
      </c>
      <c r="B47" s="3" t="s">
        <v>488</v>
      </c>
    </row>
    <row r="48" spans="1:2" x14ac:dyDescent="0.2">
      <c r="A48" s="3" t="s">
        <v>614</v>
      </c>
      <c r="B48" s="3" t="s">
        <v>369</v>
      </c>
    </row>
    <row r="49" spans="1:2" x14ac:dyDescent="0.2">
      <c r="A49" s="3" t="s">
        <v>954</v>
      </c>
      <c r="B49" s="3" t="s">
        <v>489</v>
      </c>
    </row>
    <row r="50" spans="1:2" x14ac:dyDescent="0.2">
      <c r="A50" s="3" t="s">
        <v>955</v>
      </c>
      <c r="B50" s="3" t="s">
        <v>490</v>
      </c>
    </row>
    <row r="53" spans="1:2" x14ac:dyDescent="0.2">
      <c r="A53" s="3" t="s">
        <v>759</v>
      </c>
      <c r="B53" s="3" t="s">
        <v>491</v>
      </c>
    </row>
    <row r="54" spans="1:2" x14ac:dyDescent="0.2">
      <c r="A54" s="3" t="s">
        <v>977</v>
      </c>
      <c r="B54" s="3" t="s">
        <v>492</v>
      </c>
    </row>
    <row r="55" spans="1:2" x14ac:dyDescent="0.2">
      <c r="A55" s="3" t="s">
        <v>614</v>
      </c>
      <c r="B55" s="3" t="s">
        <v>369</v>
      </c>
    </row>
    <row r="56" spans="1:2" x14ac:dyDescent="0.2">
      <c r="A56" s="3" t="s">
        <v>954</v>
      </c>
      <c r="B56" s="3" t="s">
        <v>493</v>
      </c>
    </row>
    <row r="57" spans="1:2" x14ac:dyDescent="0.2">
      <c r="A57" s="3" t="s">
        <v>955</v>
      </c>
      <c r="B57" s="3" t="s">
        <v>370</v>
      </c>
    </row>
    <row r="59" spans="1:2" x14ac:dyDescent="0.2">
      <c r="A59" s="3" t="s">
        <v>759</v>
      </c>
      <c r="B59" s="3" t="s">
        <v>882</v>
      </c>
    </row>
    <row r="60" spans="1:2" x14ac:dyDescent="0.2">
      <c r="A60" s="3" t="s">
        <v>977</v>
      </c>
      <c r="B60" s="3" t="s">
        <v>494</v>
      </c>
    </row>
    <row r="61" spans="1:2" x14ac:dyDescent="0.2">
      <c r="A61" s="3" t="s">
        <v>614</v>
      </c>
      <c r="B61" s="3" t="s">
        <v>495</v>
      </c>
    </row>
    <row r="62" spans="1:2" x14ac:dyDescent="0.2">
      <c r="A62" s="3" t="s">
        <v>954</v>
      </c>
      <c r="B62" s="3">
        <v>13.74</v>
      </c>
    </row>
    <row r="63" spans="1:2" x14ac:dyDescent="0.2">
      <c r="A63" s="3" t="s">
        <v>955</v>
      </c>
      <c r="B63" s="3" t="s">
        <v>370</v>
      </c>
    </row>
    <row r="64" spans="1:2" x14ac:dyDescent="0.2">
      <c r="A64" s="3" t="s">
        <v>614</v>
      </c>
      <c r="B64" s="3" t="s">
        <v>496</v>
      </c>
    </row>
    <row r="65" spans="1:3" x14ac:dyDescent="0.2">
      <c r="A65" s="3" t="s">
        <v>954</v>
      </c>
      <c r="B65" s="3">
        <v>7.56</v>
      </c>
    </row>
    <row r="66" spans="1:3" x14ac:dyDescent="0.2">
      <c r="A66" s="3" t="s">
        <v>955</v>
      </c>
      <c r="B66" s="3" t="s">
        <v>370</v>
      </c>
    </row>
    <row r="69" spans="1:3" x14ac:dyDescent="0.2">
      <c r="A69" s="3" t="s">
        <v>759</v>
      </c>
      <c r="B69" s="3" t="s">
        <v>497</v>
      </c>
    </row>
    <row r="70" spans="1:3" x14ac:dyDescent="0.2">
      <c r="A70" s="3" t="s">
        <v>977</v>
      </c>
      <c r="B70" s="3" t="s">
        <v>44</v>
      </c>
    </row>
    <row r="71" spans="1:3" x14ac:dyDescent="0.2">
      <c r="A71" s="3" t="s">
        <v>614</v>
      </c>
      <c r="B71" s="3" t="s">
        <v>498</v>
      </c>
    </row>
    <row r="72" spans="1:3" x14ac:dyDescent="0.2">
      <c r="A72" s="3" t="s">
        <v>954</v>
      </c>
      <c r="B72" s="3">
        <v>5</v>
      </c>
    </row>
    <row r="73" spans="1:3" x14ac:dyDescent="0.2">
      <c r="A73" s="3" t="s">
        <v>955</v>
      </c>
      <c r="B73" s="3" t="s">
        <v>499</v>
      </c>
    </row>
    <row r="76" spans="1:3" x14ac:dyDescent="0.2">
      <c r="A76" s="3" t="s">
        <v>759</v>
      </c>
      <c r="B76" s="3" t="s">
        <v>980</v>
      </c>
    </row>
    <row r="77" spans="1:3" x14ac:dyDescent="0.2">
      <c r="A77" s="3" t="s">
        <v>614</v>
      </c>
      <c r="B77" s="3" t="s">
        <v>498</v>
      </c>
    </row>
    <row r="78" spans="1:3" x14ac:dyDescent="0.2">
      <c r="A78" s="3" t="s">
        <v>954</v>
      </c>
      <c r="B78" s="1">
        <v>3.5</v>
      </c>
      <c r="C78" s="3" t="s">
        <v>500</v>
      </c>
    </row>
    <row r="79" spans="1:3" x14ac:dyDescent="0.2">
      <c r="A79" s="3" t="s">
        <v>955</v>
      </c>
      <c r="B79" s="3" t="s">
        <v>501</v>
      </c>
    </row>
    <row r="81" spans="1:8" x14ac:dyDescent="0.2">
      <c r="A81" s="3" t="s">
        <v>759</v>
      </c>
      <c r="B81" s="3" t="s">
        <v>502</v>
      </c>
    </row>
    <row r="82" spans="1:8" x14ac:dyDescent="0.2">
      <c r="A82" s="3" t="s">
        <v>614</v>
      </c>
      <c r="B82" s="3" t="s">
        <v>503</v>
      </c>
      <c r="C82" s="3"/>
      <c r="D82" s="3"/>
      <c r="E82" s="3"/>
      <c r="F82" s="3"/>
    </row>
    <row r="83" spans="1:8" x14ac:dyDescent="0.2">
      <c r="A83" s="3" t="s">
        <v>954</v>
      </c>
      <c r="B83" s="3" t="s">
        <v>504</v>
      </c>
      <c r="C83" s="3"/>
      <c r="D83" s="3"/>
      <c r="E83" s="3"/>
      <c r="F83" s="3"/>
    </row>
    <row r="84" spans="1:8" x14ac:dyDescent="0.2">
      <c r="A84" s="3" t="s">
        <v>955</v>
      </c>
      <c r="B84" s="3" t="s">
        <v>370</v>
      </c>
      <c r="C84" s="3"/>
      <c r="D84" s="3"/>
      <c r="E84" s="3"/>
      <c r="F84" s="3"/>
    </row>
    <row r="85" spans="1:8" x14ac:dyDescent="0.2">
      <c r="B85" s="3"/>
      <c r="C85" s="3"/>
      <c r="D85" s="3"/>
      <c r="E85" s="3"/>
      <c r="F85" s="3"/>
    </row>
    <row r="86" spans="1:8" x14ac:dyDescent="0.2">
      <c r="A86" s="34" t="s">
        <v>759</v>
      </c>
      <c r="B86" s="3" t="s">
        <v>505</v>
      </c>
    </row>
    <row r="87" spans="1:8" x14ac:dyDescent="0.2">
      <c r="A87" s="34" t="s">
        <v>614</v>
      </c>
      <c r="B87" s="3" t="s">
        <v>506</v>
      </c>
    </row>
    <row r="88" spans="1:8" x14ac:dyDescent="0.2">
      <c r="A88" s="34"/>
      <c r="B88" s="3" t="s">
        <v>507</v>
      </c>
      <c r="F88" s="3" t="s">
        <v>508</v>
      </c>
    </row>
    <row r="89" spans="1:8" x14ac:dyDescent="0.2">
      <c r="A89" s="34" t="s">
        <v>954</v>
      </c>
      <c r="B89" s="3">
        <v>0.38</v>
      </c>
      <c r="C89" s="3">
        <v>0.32</v>
      </c>
      <c r="D89" s="3">
        <v>0.25</v>
      </c>
      <c r="E89" s="3">
        <v>0.23</v>
      </c>
      <c r="F89" s="3">
        <v>0.37</v>
      </c>
      <c r="G89" s="3">
        <v>0.32</v>
      </c>
      <c r="H89" s="3">
        <v>0.28000000000000003</v>
      </c>
    </row>
    <row r="90" spans="1:8" x14ac:dyDescent="0.2">
      <c r="A90" s="34" t="s">
        <v>955</v>
      </c>
      <c r="B90" s="3" t="s">
        <v>509</v>
      </c>
      <c r="C90" s="3" t="s">
        <v>509</v>
      </c>
      <c r="D90" s="3" t="s">
        <v>509</v>
      </c>
      <c r="E90" s="3" t="s">
        <v>509</v>
      </c>
      <c r="F90" s="3" t="s">
        <v>509</v>
      </c>
      <c r="G90" s="3" t="s">
        <v>509</v>
      </c>
      <c r="H90" s="3" t="s">
        <v>509</v>
      </c>
    </row>
    <row r="91" spans="1:8" x14ac:dyDescent="0.2">
      <c r="A91" s="34" t="s">
        <v>760</v>
      </c>
      <c r="B91" s="1" t="s">
        <v>510</v>
      </c>
    </row>
    <row r="92" spans="1:8" x14ac:dyDescent="0.2">
      <c r="A92" s="4"/>
      <c r="B92" s="4"/>
    </row>
    <row r="93" spans="1:8" x14ac:dyDescent="0.2">
      <c r="A93" s="3" t="s">
        <v>759</v>
      </c>
      <c r="B93" s="3" t="s">
        <v>511</v>
      </c>
      <c r="E93" s="1" t="s">
        <v>512</v>
      </c>
    </row>
    <row r="94" spans="1:8" x14ac:dyDescent="0.2">
      <c r="A94" s="3" t="s">
        <v>614</v>
      </c>
      <c r="B94" s="3" t="s">
        <v>513</v>
      </c>
      <c r="E94" s="3" t="s">
        <v>514</v>
      </c>
    </row>
    <row r="95" spans="1:8" x14ac:dyDescent="0.2">
      <c r="A95" s="3" t="s">
        <v>954</v>
      </c>
      <c r="B95" s="3">
        <v>180</v>
      </c>
      <c r="C95">
        <v>0.18</v>
      </c>
      <c r="E95" s="23">
        <f>1/(B95/1000)</f>
        <v>5.5555555555555554</v>
      </c>
    </row>
    <row r="96" spans="1:8" x14ac:dyDescent="0.2">
      <c r="A96" s="3" t="s">
        <v>955</v>
      </c>
      <c r="B96" s="3" t="s">
        <v>515</v>
      </c>
      <c r="C96" t="s">
        <v>516</v>
      </c>
      <c r="E96" s="3" t="s">
        <v>516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F17"/>
  <sheetViews>
    <sheetView workbookViewId="0">
      <selection activeCell="F42" sqref="F42"/>
    </sheetView>
  </sheetViews>
  <sheetFormatPr baseColWidth="10" defaultColWidth="11.42578125" defaultRowHeight="12.75" x14ac:dyDescent="0.2"/>
  <cols>
    <col min="1" max="1" width="11.42578125" customWidth="1"/>
    <col min="2" max="2" width="21.42578125" customWidth="1"/>
  </cols>
  <sheetData>
    <row r="1" spans="1:6" x14ac:dyDescent="0.2">
      <c r="A1" s="11" t="s">
        <v>759</v>
      </c>
      <c r="B1" s="4" t="s">
        <v>1037</v>
      </c>
    </row>
    <row r="2" spans="1:6" x14ac:dyDescent="0.2">
      <c r="A2" s="11" t="s">
        <v>962</v>
      </c>
      <c r="B2" s="4" t="s">
        <v>528</v>
      </c>
    </row>
    <row r="3" spans="1:6" x14ac:dyDescent="0.2">
      <c r="A3" s="11" t="s">
        <v>614</v>
      </c>
      <c r="B3" s="4" t="s">
        <v>529</v>
      </c>
    </row>
    <row r="4" spans="1:6" x14ac:dyDescent="0.2">
      <c r="A4" s="11" t="s">
        <v>954</v>
      </c>
      <c r="B4" s="4">
        <v>0.2</v>
      </c>
    </row>
    <row r="5" spans="1:6" x14ac:dyDescent="0.2">
      <c r="A5" s="11" t="s">
        <v>955</v>
      </c>
      <c r="B5" s="4" t="s">
        <v>530</v>
      </c>
    </row>
    <row r="6" spans="1:6" x14ac:dyDescent="0.2">
      <c r="A6" s="4"/>
      <c r="B6" s="4"/>
    </row>
    <row r="7" spans="1:6" x14ac:dyDescent="0.2">
      <c r="A7" s="4" t="s">
        <v>531</v>
      </c>
      <c r="B7" s="4"/>
    </row>
    <row r="10" spans="1:6" x14ac:dyDescent="0.2">
      <c r="B10" t="s">
        <v>923</v>
      </c>
    </row>
    <row r="12" spans="1:6" x14ac:dyDescent="0.2">
      <c r="B12" t="s">
        <v>922</v>
      </c>
      <c r="C12" t="s">
        <v>369</v>
      </c>
    </row>
    <row r="13" spans="1:6" x14ac:dyDescent="0.2">
      <c r="A13" t="s">
        <v>921</v>
      </c>
      <c r="B13">
        <v>1</v>
      </c>
      <c r="C13">
        <v>13.7</v>
      </c>
      <c r="D13" t="s">
        <v>370</v>
      </c>
      <c r="E13" t="s">
        <v>924</v>
      </c>
      <c r="F13" t="s">
        <v>926</v>
      </c>
    </row>
    <row r="14" spans="1:6" x14ac:dyDescent="0.2">
      <c r="B14">
        <v>0</v>
      </c>
      <c r="C14">
        <v>0.18</v>
      </c>
      <c r="E14" t="s">
        <v>924</v>
      </c>
      <c r="F14" s="12" t="s">
        <v>925</v>
      </c>
    </row>
    <row r="16" spans="1:6" x14ac:dyDescent="0.2">
      <c r="B16" s="64" t="s">
        <v>721</v>
      </c>
      <c r="C16" s="64">
        <v>0.18</v>
      </c>
    </row>
    <row r="17" spans="2:3" x14ac:dyDescent="0.2">
      <c r="B17" s="64" t="s">
        <v>724</v>
      </c>
      <c r="C17" s="64">
        <v>13.52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baseColWidth="10" defaultColWidth="11.42578125" defaultRowHeight="12.75" x14ac:dyDescent="0.2"/>
  <sheetData>
    <row r="1" spans="1:4" x14ac:dyDescent="0.2">
      <c r="A1" s="11" t="s">
        <v>759</v>
      </c>
      <c r="B1" s="4" t="s">
        <v>517</v>
      </c>
      <c r="C1" s="11"/>
      <c r="D1" s="1"/>
    </row>
    <row r="2" spans="1:4" x14ac:dyDescent="0.2">
      <c r="A2" s="11"/>
      <c r="B2" s="4"/>
      <c r="C2" s="11"/>
      <c r="D2" s="1"/>
    </row>
    <row r="3" spans="1:4" x14ac:dyDescent="0.2">
      <c r="A3" s="11" t="s">
        <v>614</v>
      </c>
      <c r="B3" s="4" t="s">
        <v>518</v>
      </c>
      <c r="C3" s="11"/>
      <c r="D3" s="1"/>
    </row>
    <row r="4" spans="1:4" x14ac:dyDescent="0.2">
      <c r="A4" s="11" t="s">
        <v>954</v>
      </c>
      <c r="B4" s="33">
        <v>0.25</v>
      </c>
      <c r="C4" s="11"/>
      <c r="D4" s="1"/>
    </row>
    <row r="5" spans="1:4" x14ac:dyDescent="0.2">
      <c r="A5" s="11" t="s">
        <v>955</v>
      </c>
      <c r="B5" s="33" t="s">
        <v>158</v>
      </c>
      <c r="C5" s="11"/>
      <c r="D5" s="1"/>
    </row>
    <row r="6" spans="1:4" x14ac:dyDescent="0.2">
      <c r="A6" s="11" t="s">
        <v>957</v>
      </c>
      <c r="B6" s="35" t="s">
        <v>778</v>
      </c>
      <c r="C6" s="11"/>
      <c r="D6" s="1"/>
    </row>
    <row r="7" spans="1:4" x14ac:dyDescent="0.2">
      <c r="A7" s="11"/>
      <c r="B7" s="1"/>
      <c r="C7" s="11"/>
      <c r="D7" s="1"/>
    </row>
    <row r="8" spans="1:4" x14ac:dyDescent="0.2">
      <c r="A8" s="11"/>
      <c r="B8" s="1"/>
      <c r="C8" s="11"/>
      <c r="D8" s="1"/>
    </row>
    <row r="9" spans="1:4" x14ac:dyDescent="0.2">
      <c r="A9" s="1" t="s">
        <v>759</v>
      </c>
      <c r="B9" s="3" t="s">
        <v>519</v>
      </c>
      <c r="C9" s="11"/>
      <c r="D9" s="1"/>
    </row>
    <row r="10" spans="1:4" x14ac:dyDescent="0.2">
      <c r="A10" s="1"/>
      <c r="B10" s="3"/>
      <c r="C10" s="11"/>
      <c r="D10" s="1"/>
    </row>
    <row r="11" spans="1:4" x14ac:dyDescent="0.2">
      <c r="A11" s="1" t="s">
        <v>614</v>
      </c>
      <c r="B11" s="3" t="s">
        <v>520</v>
      </c>
      <c r="C11" s="11"/>
      <c r="D11" s="1"/>
    </row>
    <row r="12" spans="1:4" x14ac:dyDescent="0.2">
      <c r="A12" s="1" t="s">
        <v>954</v>
      </c>
      <c r="B12" s="36">
        <v>0.06</v>
      </c>
      <c r="C12" s="11"/>
      <c r="D12" s="1"/>
    </row>
    <row r="13" spans="1:4" x14ac:dyDescent="0.2">
      <c r="A13" s="1" t="s">
        <v>955</v>
      </c>
      <c r="B13" s="36" t="s">
        <v>158</v>
      </c>
      <c r="C13" s="11"/>
      <c r="D13" s="1"/>
    </row>
    <row r="14" spans="1:4" x14ac:dyDescent="0.2">
      <c r="A14" s="1" t="s">
        <v>957</v>
      </c>
      <c r="B14" s="35" t="s">
        <v>778</v>
      </c>
      <c r="C14" s="11"/>
      <c r="D14" s="1"/>
    </row>
    <row r="16" spans="1:4" x14ac:dyDescent="0.2">
      <c r="A16" s="3" t="s">
        <v>521</v>
      </c>
    </row>
    <row r="18" spans="1:4" x14ac:dyDescent="0.2">
      <c r="A18" s="3" t="s">
        <v>831</v>
      </c>
    </row>
    <row r="19" spans="1:4" x14ac:dyDescent="0.2">
      <c r="A19" s="1" t="s">
        <v>793</v>
      </c>
    </row>
    <row r="20" spans="1:4" x14ac:dyDescent="0.2">
      <c r="A20" s="3" t="s">
        <v>522</v>
      </c>
      <c r="C20" s="3" t="s">
        <v>523</v>
      </c>
      <c r="D20" s="3" t="s">
        <v>524</v>
      </c>
    </row>
    <row r="22" spans="1:4" x14ac:dyDescent="0.2">
      <c r="A22" s="1" t="s">
        <v>759</v>
      </c>
      <c r="B22" s="3" t="s">
        <v>525</v>
      </c>
    </row>
    <row r="23" spans="1:4" x14ac:dyDescent="0.2">
      <c r="A23" s="1"/>
    </row>
    <row r="24" spans="1:4" x14ac:dyDescent="0.2">
      <c r="A24" s="1" t="s">
        <v>614</v>
      </c>
      <c r="B24" s="3" t="s">
        <v>526</v>
      </c>
    </row>
    <row r="25" spans="1:4" x14ac:dyDescent="0.2">
      <c r="A25" s="1" t="s">
        <v>954</v>
      </c>
      <c r="B25" s="3" t="s">
        <v>527</v>
      </c>
    </row>
    <row r="26" spans="1:4" x14ac:dyDescent="0.2">
      <c r="A26" s="1" t="s">
        <v>955</v>
      </c>
    </row>
    <row r="27" spans="1:4" x14ac:dyDescent="0.2">
      <c r="A27" s="1" t="s">
        <v>957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baseColWidth="10" defaultColWidth="11.42578125" defaultRowHeight="12.75" x14ac:dyDescent="0.2"/>
  <sheetData>
    <row r="1" spans="1:3" x14ac:dyDescent="0.2">
      <c r="A1" s="37" t="s">
        <v>532</v>
      </c>
    </row>
    <row r="3" spans="1:3" x14ac:dyDescent="0.2">
      <c r="A3" s="1" t="s">
        <v>759</v>
      </c>
      <c r="B3" s="3" t="s">
        <v>533</v>
      </c>
    </row>
    <row r="4" spans="1:3" x14ac:dyDescent="0.2">
      <c r="A4" s="1" t="s">
        <v>614</v>
      </c>
      <c r="B4" s="3" t="s">
        <v>534</v>
      </c>
      <c r="C4" s="3" t="s">
        <v>535</v>
      </c>
    </row>
    <row r="5" spans="1:3" x14ac:dyDescent="0.2">
      <c r="A5" s="1" t="s">
        <v>954</v>
      </c>
      <c r="B5" s="3">
        <v>3216</v>
      </c>
      <c r="C5" s="3">
        <v>7215</v>
      </c>
    </row>
    <row r="6" spans="1:3" x14ac:dyDescent="0.2">
      <c r="A6" s="1" t="s">
        <v>957</v>
      </c>
      <c r="B6" s="1" t="s">
        <v>310</v>
      </c>
    </row>
    <row r="7" spans="1:3" x14ac:dyDescent="0.2">
      <c r="A7" s="1"/>
      <c r="B7" s="3" t="s">
        <v>536</v>
      </c>
    </row>
    <row r="8" spans="1:3" x14ac:dyDescent="0.2">
      <c r="A8" s="1" t="s">
        <v>761</v>
      </c>
      <c r="B8" s="3" t="s">
        <v>537</v>
      </c>
    </row>
    <row r="10" spans="1:3" x14ac:dyDescent="0.2">
      <c r="A10" s="1" t="s">
        <v>759</v>
      </c>
      <c r="B10" s="3" t="s">
        <v>538</v>
      </c>
    </row>
    <row r="11" spans="1:3" x14ac:dyDescent="0.2">
      <c r="A11" s="1" t="s">
        <v>614</v>
      </c>
      <c r="B11" s="3" t="s">
        <v>539</v>
      </c>
      <c r="C11" s="3" t="s">
        <v>540</v>
      </c>
    </row>
    <row r="12" spans="1:3" x14ac:dyDescent="0.2">
      <c r="A12" s="1" t="s">
        <v>954</v>
      </c>
      <c r="B12" s="3">
        <v>1300</v>
      </c>
      <c r="C12" s="3">
        <v>400</v>
      </c>
    </row>
    <row r="13" spans="1:3" x14ac:dyDescent="0.2">
      <c r="A13" s="1" t="s">
        <v>759</v>
      </c>
      <c r="B13" s="3" t="s">
        <v>541</v>
      </c>
    </row>
    <row r="14" spans="1:3" x14ac:dyDescent="0.2">
      <c r="A14" s="1" t="s">
        <v>954</v>
      </c>
      <c r="B14" s="3" t="s">
        <v>542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D47"/>
  <sheetViews>
    <sheetView topLeftCell="A12" workbookViewId="0"/>
  </sheetViews>
  <sheetFormatPr baseColWidth="10" defaultRowHeight="12.75" x14ac:dyDescent="0.2"/>
  <cols>
    <col min="1" max="256" width="9.140625" style="6" customWidth="1"/>
    <col min="257" max="16384" width="11.42578125" style="6"/>
  </cols>
  <sheetData>
    <row r="1" spans="1:2" x14ac:dyDescent="0.2">
      <c r="A1" s="6" t="s">
        <v>759</v>
      </c>
      <c r="B1" s="6" t="s">
        <v>543</v>
      </c>
    </row>
    <row r="3" spans="1:2" x14ac:dyDescent="0.2">
      <c r="A3" s="6" t="s">
        <v>614</v>
      </c>
      <c r="B3" s="6" t="s">
        <v>544</v>
      </c>
    </row>
    <row r="4" spans="1:2" x14ac:dyDescent="0.2">
      <c r="A4" s="6" t="s">
        <v>954</v>
      </c>
      <c r="B4" s="6">
        <v>134.5</v>
      </c>
    </row>
    <row r="5" spans="1:2" x14ac:dyDescent="0.2">
      <c r="A5" s="6" t="s">
        <v>955</v>
      </c>
      <c r="B5" s="6" t="s">
        <v>545</v>
      </c>
    </row>
    <row r="7" spans="1:2" x14ac:dyDescent="0.2">
      <c r="A7" s="6" t="s">
        <v>759</v>
      </c>
      <c r="B7" s="6" t="s">
        <v>849</v>
      </c>
    </row>
    <row r="9" spans="1:2" x14ac:dyDescent="0.2">
      <c r="A9" s="6" t="s">
        <v>614</v>
      </c>
      <c r="B9" s="6" t="s">
        <v>546</v>
      </c>
    </row>
    <row r="10" spans="1:2" x14ac:dyDescent="0.2">
      <c r="A10" s="6" t="s">
        <v>954</v>
      </c>
      <c r="B10" s="6">
        <v>0.3</v>
      </c>
    </row>
    <row r="11" spans="1:2" x14ac:dyDescent="0.2">
      <c r="A11" s="6" t="s">
        <v>955</v>
      </c>
      <c r="B11" s="6" t="s">
        <v>547</v>
      </c>
    </row>
    <row r="13" spans="1:2" x14ac:dyDescent="0.2">
      <c r="A13" s="6" t="s">
        <v>614</v>
      </c>
      <c r="B13" s="6" t="s">
        <v>548</v>
      </c>
    </row>
    <row r="14" spans="1:2" x14ac:dyDescent="0.2">
      <c r="A14" s="6" t="s">
        <v>954</v>
      </c>
      <c r="B14" s="6">
        <v>0.5</v>
      </c>
    </row>
    <row r="15" spans="1:2" x14ac:dyDescent="0.2">
      <c r="A15" s="6" t="s">
        <v>955</v>
      </c>
      <c r="B15" s="6" t="s">
        <v>545</v>
      </c>
    </row>
    <row r="18" spans="1:2" x14ac:dyDescent="0.2">
      <c r="A18" s="6" t="s">
        <v>759</v>
      </c>
      <c r="B18" s="6" t="s">
        <v>549</v>
      </c>
    </row>
    <row r="19" spans="1:2" x14ac:dyDescent="0.2">
      <c r="A19" s="6" t="s">
        <v>977</v>
      </c>
      <c r="B19" s="6" t="s">
        <v>550</v>
      </c>
    </row>
    <row r="20" spans="1:2" x14ac:dyDescent="0.2">
      <c r="A20" s="6" t="s">
        <v>614</v>
      </c>
      <c r="B20" s="6" t="s">
        <v>551</v>
      </c>
    </row>
    <row r="21" spans="1:2" x14ac:dyDescent="0.2">
      <c r="A21" s="6" t="s">
        <v>954</v>
      </c>
      <c r="B21" s="6">
        <v>0.15</v>
      </c>
    </row>
    <row r="22" spans="1:2" x14ac:dyDescent="0.2">
      <c r="A22" s="6" t="s">
        <v>955</v>
      </c>
      <c r="B22" s="6" t="s">
        <v>973</v>
      </c>
    </row>
    <row r="25" spans="1:2" x14ac:dyDescent="0.2">
      <c r="A25" s="6" t="s">
        <v>759</v>
      </c>
      <c r="B25" s="6" t="s">
        <v>947</v>
      </c>
    </row>
    <row r="26" spans="1:2" x14ac:dyDescent="0.2">
      <c r="A26" s="6" t="s">
        <v>977</v>
      </c>
      <c r="B26" s="6" t="s">
        <v>1039</v>
      </c>
    </row>
    <row r="27" spans="1:2" x14ac:dyDescent="0.2">
      <c r="A27" s="6" t="s">
        <v>614</v>
      </c>
      <c r="B27" s="6" t="s">
        <v>552</v>
      </c>
    </row>
    <row r="28" spans="1:2" x14ac:dyDescent="0.2">
      <c r="A28" s="6" t="s">
        <v>954</v>
      </c>
      <c r="B28" s="38">
        <v>0.15</v>
      </c>
    </row>
    <row r="29" spans="1:2" x14ac:dyDescent="0.2">
      <c r="A29" s="6" t="s">
        <v>955</v>
      </c>
      <c r="B29" s="6" t="s">
        <v>545</v>
      </c>
    </row>
    <row r="31" spans="1:2" x14ac:dyDescent="0.2">
      <c r="A31" s="7" t="s">
        <v>759</v>
      </c>
      <c r="B31" s="39" t="s">
        <v>553</v>
      </c>
    </row>
    <row r="32" spans="1:2" x14ac:dyDescent="0.2">
      <c r="A32" s="7" t="s">
        <v>977</v>
      </c>
      <c r="B32" s="7" t="s">
        <v>778</v>
      </c>
    </row>
    <row r="33" spans="1:4" x14ac:dyDescent="0.2">
      <c r="A33" s="7" t="s">
        <v>614</v>
      </c>
      <c r="B33" s="39" t="s">
        <v>554</v>
      </c>
    </row>
    <row r="34" spans="1:4" x14ac:dyDescent="0.2">
      <c r="A34" s="7" t="s">
        <v>954</v>
      </c>
      <c r="B34" s="38">
        <v>0.3</v>
      </c>
    </row>
    <row r="35" spans="1:4" x14ac:dyDescent="0.2">
      <c r="A35" s="7" t="s">
        <v>955</v>
      </c>
      <c r="B35" s="39" t="s">
        <v>555</v>
      </c>
    </row>
    <row r="37" spans="1:4" x14ac:dyDescent="0.2">
      <c r="A37" s="7" t="s">
        <v>759</v>
      </c>
      <c r="B37" s="6" t="s">
        <v>556</v>
      </c>
    </row>
    <row r="38" spans="1:4" x14ac:dyDescent="0.2">
      <c r="A38" s="7" t="s">
        <v>977</v>
      </c>
      <c r="B38" s="7" t="s">
        <v>557</v>
      </c>
    </row>
    <row r="39" spans="1:4" x14ac:dyDescent="0.2">
      <c r="A39" s="7" t="s">
        <v>614</v>
      </c>
      <c r="B39" s="6" t="s">
        <v>558</v>
      </c>
    </row>
    <row r="40" spans="1:4" x14ac:dyDescent="0.2">
      <c r="A40" s="7" t="s">
        <v>954</v>
      </c>
      <c r="B40" s="6" t="s">
        <v>559</v>
      </c>
    </row>
    <row r="41" spans="1:4" x14ac:dyDescent="0.2">
      <c r="A41" s="7" t="s">
        <v>955</v>
      </c>
      <c r="B41" s="40"/>
    </row>
    <row r="43" spans="1:4" x14ac:dyDescent="0.2">
      <c r="A43" s="7" t="s">
        <v>759</v>
      </c>
      <c r="B43" s="6" t="s">
        <v>560</v>
      </c>
    </row>
    <row r="44" spans="1:4" x14ac:dyDescent="0.2">
      <c r="A44" s="7" t="s">
        <v>977</v>
      </c>
      <c r="B44" s="7" t="s">
        <v>561</v>
      </c>
      <c r="D44" s="7" t="s">
        <v>767</v>
      </c>
    </row>
    <row r="45" spans="1:4" x14ac:dyDescent="0.2">
      <c r="A45" s="7" t="s">
        <v>614</v>
      </c>
      <c r="B45" s="6" t="s">
        <v>544</v>
      </c>
    </row>
    <row r="46" spans="1:4" x14ac:dyDescent="0.2">
      <c r="A46" s="7" t="s">
        <v>954</v>
      </c>
      <c r="B46" s="6" t="s">
        <v>562</v>
      </c>
      <c r="D46" s="6" t="s">
        <v>563</v>
      </c>
    </row>
    <row r="47" spans="1:4" x14ac:dyDescent="0.2">
      <c r="A47" s="7" t="s">
        <v>955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U51"/>
  <sheetViews>
    <sheetView workbookViewId="0">
      <selection activeCell="D21" sqref="D21"/>
    </sheetView>
  </sheetViews>
  <sheetFormatPr baseColWidth="10" defaultRowHeight="12.75" x14ac:dyDescent="0.2"/>
  <cols>
    <col min="1" max="256" width="9.140625" style="6" customWidth="1"/>
    <col min="257" max="16384" width="11.42578125" style="6"/>
  </cols>
  <sheetData>
    <row r="1" spans="1:21" x14ac:dyDescent="0.2">
      <c r="A1" s="7" t="s">
        <v>759</v>
      </c>
      <c r="B1" s="6" t="s">
        <v>564</v>
      </c>
      <c r="O1" s="7" t="s">
        <v>565</v>
      </c>
      <c r="P1" s="6" t="s">
        <v>566</v>
      </c>
    </row>
    <row r="2" spans="1:21" x14ac:dyDescent="0.2">
      <c r="A2" s="7" t="s">
        <v>962</v>
      </c>
      <c r="B2" s="7" t="s">
        <v>567</v>
      </c>
      <c r="N2" s="6" t="s">
        <v>568</v>
      </c>
      <c r="O2" s="39" t="s">
        <v>569</v>
      </c>
      <c r="P2" s="41">
        <f>$D$18</f>
        <v>1.2528661428438555E-2</v>
      </c>
      <c r="Q2" s="41">
        <f>$D$19</f>
        <v>1.4145677822113234E-2</v>
      </c>
      <c r="R2" s="41">
        <f>$D$20</f>
        <v>9.2973612890276079E-3</v>
      </c>
      <c r="S2" s="41">
        <f>$B$41</f>
        <v>7.1999999999999998E-3</v>
      </c>
      <c r="T2" s="41">
        <f>$B$49</f>
        <v>0.04</v>
      </c>
      <c r="U2" s="41">
        <f>$B$50</f>
        <v>7.9000000000000001E-2</v>
      </c>
    </row>
    <row r="3" spans="1:21" x14ac:dyDescent="0.2">
      <c r="N3" s="6" t="s">
        <v>570</v>
      </c>
      <c r="O3" s="6" t="s">
        <v>571</v>
      </c>
      <c r="P3" s="6" t="s">
        <v>572</v>
      </c>
      <c r="Q3" s="39" t="s">
        <v>573</v>
      </c>
      <c r="R3" s="41" t="str">
        <f>$A$20</f>
        <v>HS2</v>
      </c>
      <c r="S3" s="42" t="s">
        <v>574</v>
      </c>
      <c r="T3" s="42" t="s">
        <v>575</v>
      </c>
      <c r="U3" s="42" t="s">
        <v>576</v>
      </c>
    </row>
    <row r="4" spans="1:21" x14ac:dyDescent="0.2">
      <c r="O4" s="6">
        <v>0</v>
      </c>
      <c r="P4" s="43">
        <v>1</v>
      </c>
      <c r="Q4" s="43">
        <v>1</v>
      </c>
      <c r="R4" s="43">
        <v>1</v>
      </c>
      <c r="S4" s="43">
        <v>1</v>
      </c>
      <c r="T4" s="43">
        <v>1</v>
      </c>
      <c r="U4" s="43">
        <v>1</v>
      </c>
    </row>
    <row r="5" spans="1:21" x14ac:dyDescent="0.2">
      <c r="O5" s="6">
        <v>20</v>
      </c>
      <c r="P5" s="43">
        <f t="shared" ref="P5:U36" si="0">P$4*EXP(-P$2*$O5)</f>
        <v>0.77835448014218267</v>
      </c>
      <c r="Q5" s="43">
        <f t="shared" si="0"/>
        <v>0.75358492760641893</v>
      </c>
      <c r="R5" s="43">
        <f t="shared" si="0"/>
        <v>0.83031741317906138</v>
      </c>
      <c r="S5" s="43">
        <f t="shared" si="0"/>
        <v>0.86588774805920499</v>
      </c>
      <c r="T5" s="43">
        <f t="shared" si="0"/>
        <v>0.44932896411722156</v>
      </c>
      <c r="U5" s="43">
        <f t="shared" si="0"/>
        <v>0.20597509820488344</v>
      </c>
    </row>
    <row r="6" spans="1:21" x14ac:dyDescent="0.2">
      <c r="O6" s="6">
        <v>50</v>
      </c>
      <c r="P6" s="43">
        <f t="shared" si="0"/>
        <v>0.53449491003157168</v>
      </c>
      <c r="Q6" s="43">
        <f t="shared" si="0"/>
        <v>0.49298137177200302</v>
      </c>
      <c r="R6" s="43">
        <f t="shared" si="0"/>
        <v>0.62821798400656215</v>
      </c>
      <c r="S6" s="43">
        <f t="shared" si="0"/>
        <v>0.69767632607103103</v>
      </c>
      <c r="T6" s="43">
        <f t="shared" si="0"/>
        <v>0.1353352832366127</v>
      </c>
      <c r="U6" s="43">
        <f t="shared" si="0"/>
        <v>1.925470177538692E-2</v>
      </c>
    </row>
    <row r="7" spans="1:21" x14ac:dyDescent="0.2">
      <c r="O7" s="6">
        <v>75</v>
      </c>
      <c r="P7" s="43">
        <f t="shared" si="0"/>
        <v>0.39076473254822347</v>
      </c>
      <c r="Q7" s="43">
        <f t="shared" si="0"/>
        <v>0.34613519728086495</v>
      </c>
      <c r="R7" s="43">
        <f t="shared" si="0"/>
        <v>0.49792685180231949</v>
      </c>
      <c r="S7" s="43">
        <f t="shared" si="0"/>
        <v>0.58274825237398964</v>
      </c>
      <c r="T7" s="43">
        <f t="shared" si="0"/>
        <v>4.9787068367863944E-2</v>
      </c>
      <c r="U7" s="43">
        <f t="shared" si="0"/>
        <v>2.6718076851994506E-3</v>
      </c>
    </row>
    <row r="8" spans="1:21" x14ac:dyDescent="0.2">
      <c r="O8" s="6">
        <v>100</v>
      </c>
      <c r="P8" s="43">
        <f t="shared" si="0"/>
        <v>0.28568480884965791</v>
      </c>
      <c r="Q8" s="43">
        <f t="shared" si="0"/>
        <v>0.24303063291420585</v>
      </c>
      <c r="R8" s="43">
        <f t="shared" si="0"/>
        <v>0.39465783542926913</v>
      </c>
      <c r="S8" s="43">
        <f t="shared" si="0"/>
        <v>0.48675225595997168</v>
      </c>
      <c r="T8" s="43">
        <f t="shared" si="0"/>
        <v>1.8315638888734179E-2</v>
      </c>
      <c r="U8" s="43">
        <f t="shared" si="0"/>
        <v>3.7074354045908822E-4</v>
      </c>
    </row>
    <row r="9" spans="1:21" x14ac:dyDescent="0.2">
      <c r="O9" s="6">
        <v>200</v>
      </c>
      <c r="P9" s="43">
        <f t="shared" si="0"/>
        <v>8.1615810007465567E-2</v>
      </c>
      <c r="Q9" s="43">
        <f t="shared" si="0"/>
        <v>5.9063888534679469E-2</v>
      </c>
      <c r="R9" s="43">
        <f t="shared" si="0"/>
        <v>0.15575480706571607</v>
      </c>
      <c r="S9" s="43">
        <f t="shared" si="0"/>
        <v>0.23692775868212176</v>
      </c>
      <c r="T9" s="43">
        <f t="shared" si="0"/>
        <v>3.3546262790251185E-4</v>
      </c>
      <c r="U9" s="43">
        <f t="shared" si="0"/>
        <v>1.374507727921396E-7</v>
      </c>
    </row>
    <row r="10" spans="1:21" x14ac:dyDescent="0.2">
      <c r="O10" s="6">
        <v>300</v>
      </c>
      <c r="P10" s="43">
        <f t="shared" si="0"/>
        <v>2.3316397081092784E-2</v>
      </c>
      <c r="Q10" s="43">
        <f t="shared" si="0"/>
        <v>1.4354334212957254E-2</v>
      </c>
      <c r="R10" s="43">
        <f t="shared" si="0"/>
        <v>6.1469855014258952E-2</v>
      </c>
      <c r="S10" s="43">
        <f t="shared" si="0"/>
        <v>0.11532512103806251</v>
      </c>
      <c r="T10" s="43">
        <f t="shared" si="0"/>
        <v>6.1442123533282098E-6</v>
      </c>
      <c r="U10" s="43">
        <f t="shared" si="0"/>
        <v>5.0958986143795644E-11</v>
      </c>
    </row>
    <row r="11" spans="1:21" x14ac:dyDescent="0.2">
      <c r="N11" s="6">
        <v>1</v>
      </c>
      <c r="O11" s="6">
        <v>350</v>
      </c>
      <c r="P11" s="43">
        <f t="shared" si="0"/>
        <v>1.2462495560119091E-2</v>
      </c>
      <c r="Q11" s="43">
        <f t="shared" si="0"/>
        <v>7.0764193711774634E-3</v>
      </c>
      <c r="R11" s="43">
        <f t="shared" si="0"/>
        <v>3.8616468394233404E-2</v>
      </c>
      <c r="S11" s="43">
        <f t="shared" si="0"/>
        <v>8.0459606749532439E-2</v>
      </c>
      <c r="T11" s="43">
        <f t="shared" si="0"/>
        <v>8.3152871910356788E-7</v>
      </c>
      <c r="U11" s="43">
        <f t="shared" si="0"/>
        <v>9.8120008097486041E-13</v>
      </c>
    </row>
    <row r="12" spans="1:21" x14ac:dyDescent="0.2">
      <c r="O12" s="6">
        <v>400</v>
      </c>
      <c r="P12" s="43">
        <f t="shared" si="0"/>
        <v>6.661140443174716E-3</v>
      </c>
      <c r="Q12" s="43">
        <f t="shared" si="0"/>
        <v>3.488542928837041E-3</v>
      </c>
      <c r="R12" s="43">
        <f t="shared" si="0"/>
        <v>2.4259559924078435E-2</v>
      </c>
      <c r="S12" s="43">
        <f t="shared" si="0"/>
        <v>5.6134762834133725E-2</v>
      </c>
      <c r="T12" s="43">
        <f t="shared" si="0"/>
        <v>1.1253517471925912E-7</v>
      </c>
      <c r="U12" s="43">
        <f t="shared" si="0"/>
        <v>1.8892714941156384E-14</v>
      </c>
    </row>
    <row r="13" spans="1:21" x14ac:dyDescent="0.2">
      <c r="O13" s="6">
        <v>450</v>
      </c>
      <c r="P13" s="43">
        <f t="shared" si="0"/>
        <v>3.560345661882331E-3</v>
      </c>
      <c r="Q13" s="43">
        <f t="shared" si="0"/>
        <v>1.7197866785436057E-3</v>
      </c>
      <c r="R13" s="43">
        <f t="shared" si="0"/>
        <v>1.5240291828390944E-2</v>
      </c>
      <c r="S13" s="43">
        <f t="shared" si="0"/>
        <v>3.916389509898708E-2</v>
      </c>
      <c r="T13" s="43">
        <f t="shared" si="0"/>
        <v>1.5229979744712629E-8</v>
      </c>
      <c r="U13" s="43">
        <f t="shared" si="0"/>
        <v>3.6377359191936444E-16</v>
      </c>
    </row>
    <row r="14" spans="1:21" x14ac:dyDescent="0.2">
      <c r="O14" s="6">
        <v>500</v>
      </c>
      <c r="P14" s="43">
        <f t="shared" si="0"/>
        <v>1.9029866342290935E-3</v>
      </c>
      <c r="Q14" s="43">
        <f t="shared" si="0"/>
        <v>8.478227959436436E-4</v>
      </c>
      <c r="R14" s="43">
        <f t="shared" si="0"/>
        <v>9.5742254081034421E-3</v>
      </c>
      <c r="S14" s="43">
        <f t="shared" si="0"/>
        <v>2.7323722447292559E-2</v>
      </c>
      <c r="T14" s="43">
        <f t="shared" si="0"/>
        <v>2.0611536224385579E-9</v>
      </c>
      <c r="U14" s="43">
        <f t="shared" si="0"/>
        <v>7.0043520261686453E-18</v>
      </c>
    </row>
    <row r="15" spans="1:21" x14ac:dyDescent="0.2">
      <c r="O15" s="6">
        <v>550</v>
      </c>
      <c r="P15" s="43">
        <f t="shared" si="0"/>
        <v>1.0171366698535629E-3</v>
      </c>
      <c r="Q15" s="43">
        <f t="shared" si="0"/>
        <v>4.1796084496387246E-4</v>
      </c>
      <c r="R15" s="43">
        <f t="shared" si="0"/>
        <v>6.0147005843031497E-3</v>
      </c>
      <c r="S15" s="43">
        <f t="shared" si="0"/>
        <v>1.9063114291611637E-2</v>
      </c>
      <c r="T15" s="43">
        <f t="shared" si="0"/>
        <v>2.7894680928689246E-10</v>
      </c>
      <c r="U15" s="43">
        <f t="shared" si="0"/>
        <v>1.3486670939370404E-19</v>
      </c>
    </row>
    <row r="16" spans="1:21" x14ac:dyDescent="0.2">
      <c r="A16" s="44" t="s">
        <v>577</v>
      </c>
      <c r="O16" s="6">
        <v>600</v>
      </c>
      <c r="P16" s="43">
        <f t="shared" si="0"/>
        <v>5.4365437284319216E-4</v>
      </c>
      <c r="Q16" s="43">
        <f t="shared" si="0"/>
        <v>2.0604691069727515E-4</v>
      </c>
      <c r="R16" s="43">
        <f t="shared" si="0"/>
        <v>3.778543075474016E-3</v>
      </c>
      <c r="S16" s="43">
        <f t="shared" si="0"/>
        <v>1.3299883542443767E-2</v>
      </c>
      <c r="T16" s="43">
        <f t="shared" si="0"/>
        <v>3.7751345442790977E-11</v>
      </c>
      <c r="U16" s="43">
        <f t="shared" si="0"/>
        <v>2.5968182688035566E-21</v>
      </c>
    </row>
    <row r="17" spans="1:21" x14ac:dyDescent="0.2">
      <c r="A17" s="6" t="s">
        <v>578</v>
      </c>
      <c r="B17" s="6" t="s">
        <v>579</v>
      </c>
      <c r="C17" s="6" t="s">
        <v>580</v>
      </c>
      <c r="D17" s="7" t="s">
        <v>581</v>
      </c>
      <c r="E17" s="6" t="s">
        <v>582</v>
      </c>
      <c r="G17" s="6" t="s">
        <v>765</v>
      </c>
      <c r="J17" s="6" t="s">
        <v>23</v>
      </c>
      <c r="K17" s="6" t="s">
        <v>583</v>
      </c>
      <c r="O17" s="6">
        <v>650</v>
      </c>
      <c r="P17" s="43">
        <f t="shared" si="0"/>
        <v>2.905804951010928E-4</v>
      </c>
      <c r="Q17" s="43">
        <f t="shared" si="0"/>
        <v>1.015772886849262E-4</v>
      </c>
      <c r="R17" s="43">
        <f t="shared" si="0"/>
        <v>2.3737487133562397E-3</v>
      </c>
      <c r="S17" s="43">
        <f t="shared" si="0"/>
        <v>9.2790138870647437E-3</v>
      </c>
      <c r="T17" s="43">
        <f t="shared" si="0"/>
        <v>5.1090890280633251E-12</v>
      </c>
      <c r="U17" s="43">
        <f t="shared" si="0"/>
        <v>5.0000961330688895E-23</v>
      </c>
    </row>
    <row r="18" spans="1:21" x14ac:dyDescent="0.2">
      <c r="A18" s="6" t="s">
        <v>572</v>
      </c>
      <c r="B18" s="6">
        <v>27</v>
      </c>
      <c r="C18" s="6">
        <v>28.7</v>
      </c>
      <c r="D18" s="45">
        <f>-LN(1-C18/100)/B18</f>
        <v>1.2528661428438555E-2</v>
      </c>
      <c r="E18" s="6" t="s">
        <v>584</v>
      </c>
      <c r="G18" s="6" t="s">
        <v>585</v>
      </c>
      <c r="J18" s="6" t="s">
        <v>586</v>
      </c>
      <c r="K18" s="6" t="s">
        <v>564</v>
      </c>
      <c r="O18" s="6">
        <v>700</v>
      </c>
      <c r="P18" s="43">
        <f t="shared" si="0"/>
        <v>1.5531379558598806E-4</v>
      </c>
      <c r="Q18" s="43">
        <f t="shared" si="0"/>
        <v>5.0075711116775637E-5</v>
      </c>
      <c r="R18" s="43">
        <f t="shared" si="0"/>
        <v>1.4912316312428277E-3</v>
      </c>
      <c r="S18" s="43">
        <f t="shared" si="0"/>
        <v>6.4737483182894049E-3</v>
      </c>
      <c r="T18" s="43">
        <f t="shared" si="0"/>
        <v>6.914400106940203E-13</v>
      </c>
      <c r="U18" s="43">
        <f t="shared" si="0"/>
        <v>9.6275359890507261E-25</v>
      </c>
    </row>
    <row r="19" spans="1:21" x14ac:dyDescent="0.2">
      <c r="A19" s="6" t="s">
        <v>572</v>
      </c>
      <c r="B19" s="6">
        <v>21</v>
      </c>
      <c r="C19" s="6">
        <v>25.7</v>
      </c>
      <c r="D19" s="45">
        <f>-LN(1-C19/100)/B19</f>
        <v>1.4145677822113234E-2</v>
      </c>
      <c r="E19" s="6" t="s">
        <v>584</v>
      </c>
      <c r="G19" s="6" t="s">
        <v>585</v>
      </c>
      <c r="J19" s="6" t="s">
        <v>586</v>
      </c>
      <c r="K19" s="6" t="s">
        <v>564</v>
      </c>
      <c r="N19" s="6">
        <v>2</v>
      </c>
      <c r="O19" s="6">
        <v>750</v>
      </c>
      <c r="P19" s="43">
        <f t="shared" si="0"/>
        <v>8.3014433198394543E-5</v>
      </c>
      <c r="Q19" s="43">
        <f t="shared" si="0"/>
        <v>2.4686392758806622E-5</v>
      </c>
      <c r="R19" s="43">
        <f t="shared" si="0"/>
        <v>9.3681852906618633E-4</v>
      </c>
      <c r="S19" s="43">
        <f t="shared" si="0"/>
        <v>4.5165809426126703E-3</v>
      </c>
      <c r="T19" s="43">
        <f t="shared" si="0"/>
        <v>9.3576229688401748E-14</v>
      </c>
      <c r="U19" s="43">
        <f t="shared" si="0"/>
        <v>1.8537533430097598E-26</v>
      </c>
    </row>
    <row r="20" spans="1:21" x14ac:dyDescent="0.2">
      <c r="A20" s="6" t="s">
        <v>587</v>
      </c>
      <c r="B20" s="6">
        <v>27</v>
      </c>
      <c r="C20" s="6">
        <v>22.2</v>
      </c>
      <c r="D20" s="45">
        <f>-LN(1-C20/100)/B20</f>
        <v>9.2973612890276079E-3</v>
      </c>
      <c r="E20" s="6" t="s">
        <v>584</v>
      </c>
      <c r="G20" s="6" t="s">
        <v>585</v>
      </c>
      <c r="J20" s="6" t="s">
        <v>586</v>
      </c>
      <c r="K20" s="6" t="s">
        <v>564</v>
      </c>
      <c r="O20" s="6">
        <v>800</v>
      </c>
      <c r="P20" s="43">
        <f t="shared" si="0"/>
        <v>4.4370792003697851E-5</v>
      </c>
      <c r="Q20" s="43">
        <f t="shared" si="0"/>
        <v>1.216993176633892E-5</v>
      </c>
      <c r="R20" s="43">
        <f t="shared" si="0"/>
        <v>5.8852624770995251E-4</v>
      </c>
      <c r="S20" s="43">
        <f t="shared" si="0"/>
        <v>3.1511115984444414E-3</v>
      </c>
      <c r="T20" s="43">
        <f t="shared" si="0"/>
        <v>1.2664165549094176E-14</v>
      </c>
      <c r="U20" s="43">
        <f t="shared" si="0"/>
        <v>3.5693467784779365E-28</v>
      </c>
    </row>
    <row r="21" spans="1:21" x14ac:dyDescent="0.2">
      <c r="A21" s="6" t="s">
        <v>655</v>
      </c>
      <c r="D21" s="73">
        <f>AVERAGE(D18:D19)</f>
        <v>1.3337169625275895E-2</v>
      </c>
      <c r="O21" s="6">
        <v>850</v>
      </c>
      <c r="P21" s="43">
        <f t="shared" si="0"/>
        <v>2.3715962480046047E-5</v>
      </c>
      <c r="Q21" s="43">
        <f t="shared" si="0"/>
        <v>5.9995496565414315E-6</v>
      </c>
      <c r="R21" s="43">
        <f t="shared" si="0"/>
        <v>3.6972277287129301E-4</v>
      </c>
      <c r="S21" s="43">
        <f t="shared" si="0"/>
        <v>2.1984559630425313E-3</v>
      </c>
      <c r="T21" s="43">
        <f t="shared" si="0"/>
        <v>1.713908431542013E-15</v>
      </c>
      <c r="U21" s="43">
        <f t="shared" si="0"/>
        <v>6.8726707752530527E-30</v>
      </c>
    </row>
    <row r="22" spans="1:21" x14ac:dyDescent="0.2">
      <c r="A22" s="7" t="s">
        <v>759</v>
      </c>
      <c r="B22" s="6" t="s">
        <v>588</v>
      </c>
      <c r="O22" s="6">
        <v>900</v>
      </c>
      <c r="P22" s="43">
        <f t="shared" si="0"/>
        <v>1.2676061232084333E-5</v>
      </c>
      <c r="Q22" s="43">
        <f t="shared" si="0"/>
        <v>2.9576662196960472E-6</v>
      </c>
      <c r="R22" s="43">
        <f t="shared" si="0"/>
        <v>2.3226649501451976E-4</v>
      </c>
      <c r="S22" s="43">
        <f t="shared" si="0"/>
        <v>1.5338106793244643E-3</v>
      </c>
      <c r="T22" s="43">
        <f t="shared" si="0"/>
        <v>2.3195228302435691E-16</v>
      </c>
      <c r="U22" s="43">
        <f t="shared" si="0"/>
        <v>1.323312261779163E-31</v>
      </c>
    </row>
    <row r="23" spans="1:21" x14ac:dyDescent="0.2">
      <c r="A23" s="7" t="s">
        <v>962</v>
      </c>
      <c r="B23" s="39" t="s">
        <v>589</v>
      </c>
      <c r="O23" s="6">
        <v>950</v>
      </c>
      <c r="P23" s="43">
        <f t="shared" si="0"/>
        <v>6.7752902077976169E-6</v>
      </c>
      <c r="Q23" s="43">
        <f t="shared" si="0"/>
        <v>1.4580743502294707E-6</v>
      </c>
      <c r="R23" s="43">
        <f t="shared" si="0"/>
        <v>1.4591398925029183E-4</v>
      </c>
      <c r="S23" s="43">
        <f t="shared" si="0"/>
        <v>1.0701033996396044E-3</v>
      </c>
      <c r="T23" s="43">
        <f t="shared" si="0"/>
        <v>3.1391327920480296E-17</v>
      </c>
      <c r="U23" s="43">
        <f t="shared" si="0"/>
        <v>2.5479982956270462E-33</v>
      </c>
    </row>
    <row r="24" spans="1:21" x14ac:dyDescent="0.2">
      <c r="A24" s="7" t="s">
        <v>954</v>
      </c>
      <c r="B24" s="6">
        <v>0.2</v>
      </c>
      <c r="O24" s="6">
        <v>1000</v>
      </c>
      <c r="P24" s="43">
        <f t="shared" si="0"/>
        <v>3.6213581300545732E-6</v>
      </c>
      <c r="Q24" s="43">
        <f t="shared" si="0"/>
        <v>7.1880349332169715E-7</v>
      </c>
      <c r="R24" s="43">
        <f t="shared" si="0"/>
        <v>9.1665792165173516E-5</v>
      </c>
      <c r="S24" s="43">
        <f t="shared" si="0"/>
        <v>7.465858083766792E-4</v>
      </c>
      <c r="T24" s="43">
        <f t="shared" si="0"/>
        <v>4.2483542552915889E-18</v>
      </c>
      <c r="U24" s="43">
        <f t="shared" si="0"/>
        <v>4.9060947306492808E-35</v>
      </c>
    </row>
    <row r="25" spans="1:21" x14ac:dyDescent="0.2">
      <c r="N25" s="6">
        <v>3</v>
      </c>
      <c r="O25" s="6">
        <v>1100</v>
      </c>
      <c r="P25" s="43">
        <f t="shared" si="0"/>
        <v>1.0345670051607957E-6</v>
      </c>
      <c r="Q25" s="43">
        <f t="shared" si="0"/>
        <v>1.7469126792291421E-7</v>
      </c>
      <c r="R25" s="43">
        <f t="shared" si="0"/>
        <v>3.6176623118816644E-5</v>
      </c>
      <c r="S25" s="43">
        <f t="shared" si="0"/>
        <v>3.6340232649504782E-4</v>
      </c>
      <c r="T25" s="43">
        <f t="shared" si="0"/>
        <v>7.7811322411337966E-20</v>
      </c>
      <c r="U25" s="43">
        <f t="shared" si="0"/>
        <v>1.8189029302685815E-38</v>
      </c>
    </row>
    <row r="26" spans="1:21" x14ac:dyDescent="0.2">
      <c r="A26" s="46" t="s">
        <v>82</v>
      </c>
      <c r="B26" s="47" t="s">
        <v>590</v>
      </c>
      <c r="C26" s="47"/>
      <c r="D26" s="47"/>
      <c r="O26" s="6">
        <v>1200</v>
      </c>
      <c r="P26" s="43">
        <f t="shared" si="0"/>
        <v>2.9556007711152454E-7</v>
      </c>
      <c r="Q26" s="43">
        <f t="shared" si="0"/>
        <v>4.2455329407890881E-8</v>
      </c>
      <c r="R26" s="43">
        <f t="shared" si="0"/>
        <v>1.4277387773212636E-5</v>
      </c>
      <c r="S26" s="43">
        <f t="shared" si="0"/>
        <v>1.7688690224256659E-4</v>
      </c>
      <c r="T26" s="43">
        <f t="shared" si="0"/>
        <v>1.4251640827409352E-21</v>
      </c>
      <c r="U26" s="43">
        <f t="shared" si="0"/>
        <v>6.7434651211919005E-42</v>
      </c>
    </row>
    <row r="27" spans="1:21" x14ac:dyDescent="0.2">
      <c r="A27" s="46" t="s">
        <v>962</v>
      </c>
      <c r="B27" s="47" t="s">
        <v>591</v>
      </c>
      <c r="C27" s="47"/>
      <c r="D27" s="47"/>
      <c r="O27" s="6">
        <v>1300</v>
      </c>
      <c r="P27" s="43">
        <f t="shared" si="0"/>
        <v>8.443702413319622E-8</v>
      </c>
      <c r="Q27" s="43">
        <f t="shared" si="0"/>
        <v>1.0317945576580837E-8</v>
      </c>
      <c r="R27" s="43">
        <f t="shared" si="0"/>
        <v>5.6346829541604029E-6</v>
      </c>
      <c r="S27" s="43">
        <f t="shared" si="0"/>
        <v>8.6100098716340351E-5</v>
      </c>
      <c r="T27" s="43">
        <f t="shared" si="0"/>
        <v>2.6102790696677047E-23</v>
      </c>
      <c r="U27" s="43">
        <f t="shared" si="0"/>
        <v>2.5000961339930461E-45</v>
      </c>
    </row>
    <row r="28" spans="1:21" x14ac:dyDescent="0.2">
      <c r="A28" s="46" t="s">
        <v>86</v>
      </c>
      <c r="B28" s="47">
        <v>0.14499999999999999</v>
      </c>
      <c r="C28" s="47"/>
      <c r="D28" s="47"/>
      <c r="O28" s="6">
        <v>1400</v>
      </c>
      <c r="P28" s="43">
        <f t="shared" si="0"/>
        <v>2.4122375099326081E-8</v>
      </c>
      <c r="Q28" s="43">
        <f t="shared" si="0"/>
        <v>2.5075768438507674E-9</v>
      </c>
      <c r="R28" s="43">
        <f t="shared" si="0"/>
        <v>2.2237717780191447E-6</v>
      </c>
      <c r="S28" s="43">
        <f t="shared" si="0"/>
        <v>4.1909417288554901E-5</v>
      </c>
      <c r="T28" s="43">
        <f t="shared" si="0"/>
        <v>4.7808928838854688E-25</v>
      </c>
      <c r="U28" s="43">
        <f t="shared" si="0"/>
        <v>9.268944922046692E-49</v>
      </c>
    </row>
    <row r="29" spans="1:21" x14ac:dyDescent="0.2">
      <c r="A29" s="47"/>
      <c r="B29" s="48" t="s">
        <v>516</v>
      </c>
      <c r="C29" s="47"/>
      <c r="D29" s="47"/>
      <c r="N29" s="6">
        <v>4</v>
      </c>
      <c r="O29" s="6">
        <f t="shared" ref="O29:O36" si="1">N29*365</f>
        <v>1460</v>
      </c>
      <c r="P29" s="43">
        <f t="shared" si="0"/>
        <v>1.1375024872478289E-8</v>
      </c>
      <c r="Q29" s="43">
        <f t="shared" si="0"/>
        <v>1.0731263564217206E-9</v>
      </c>
      <c r="R29" s="43">
        <f t="shared" si="0"/>
        <v>1.2729831410199077E-6</v>
      </c>
      <c r="S29" s="43">
        <f t="shared" si="0"/>
        <v>2.7207986675140454E-5</v>
      </c>
      <c r="T29" s="43">
        <f t="shared" si="0"/>
        <v>4.3371281732200726E-26</v>
      </c>
      <c r="U29" s="43">
        <f t="shared" si="0"/>
        <v>8.0998030186404629E-51</v>
      </c>
    </row>
    <row r="30" spans="1:21" x14ac:dyDescent="0.2">
      <c r="N30" s="6">
        <v>5</v>
      </c>
      <c r="O30" s="6">
        <f t="shared" si="1"/>
        <v>1825</v>
      </c>
      <c r="P30" s="43">
        <f t="shared" si="0"/>
        <v>1.1747364482083388E-10</v>
      </c>
      <c r="Q30" s="43">
        <f t="shared" si="0"/>
        <v>6.1420532424849304E-12</v>
      </c>
      <c r="R30" s="43">
        <f t="shared" si="0"/>
        <v>4.275907632189098E-8</v>
      </c>
      <c r="S30" s="43">
        <f t="shared" si="0"/>
        <v>1.9650359846730811E-6</v>
      </c>
      <c r="T30" s="43">
        <f t="shared" si="0"/>
        <v>1.9792598779469045E-32</v>
      </c>
      <c r="U30" s="43">
        <f t="shared" si="0"/>
        <v>2.4299261322147045E-63</v>
      </c>
    </row>
    <row r="31" spans="1:21" x14ac:dyDescent="0.2">
      <c r="A31" s="46" t="s">
        <v>592</v>
      </c>
      <c r="N31" s="6">
        <v>6</v>
      </c>
      <c r="O31" s="6">
        <f t="shared" si="1"/>
        <v>2190</v>
      </c>
      <c r="P31" s="43">
        <f t="shared" si="0"/>
        <v>1.2131891914259041E-12</v>
      </c>
      <c r="Q31" s="43">
        <f t="shared" si="0"/>
        <v>3.5154124961864504E-14</v>
      </c>
      <c r="R31" s="43">
        <f t="shared" si="0"/>
        <v>1.4362630179347405E-9</v>
      </c>
      <c r="S31" s="43">
        <f t="shared" si="0"/>
        <v>1.4192032902560087E-7</v>
      </c>
      <c r="T31" s="43">
        <f t="shared" si="0"/>
        <v>9.0324046419450587E-39</v>
      </c>
      <c r="U31" s="43">
        <f t="shared" si="0"/>
        <v>7.2897340767814711E-76</v>
      </c>
    </row>
    <row r="32" spans="1:21" x14ac:dyDescent="0.2">
      <c r="N32" s="6">
        <v>7</v>
      </c>
      <c r="O32" s="6">
        <f t="shared" si="1"/>
        <v>2555</v>
      </c>
      <c r="P32" s="43">
        <f t="shared" si="0"/>
        <v>1.2529006113987628E-14</v>
      </c>
      <c r="Q32" s="43">
        <f t="shared" si="0"/>
        <v>2.0120511057869048E-16</v>
      </c>
      <c r="R32" s="43">
        <f t="shared" si="0"/>
        <v>4.8243592568694218E-11</v>
      </c>
      <c r="S32" s="43">
        <f t="shared" si="0"/>
        <v>1.0249878347182357E-8</v>
      </c>
      <c r="T32" s="43">
        <f t="shared" si="0"/>
        <v>4.1219616749094933E-45</v>
      </c>
      <c r="U32" s="43">
        <f t="shared" si="0"/>
        <v>2.1869069271564222E-88</v>
      </c>
    </row>
    <row r="33" spans="1:21" x14ac:dyDescent="0.2">
      <c r="N33" s="6">
        <v>8</v>
      </c>
      <c r="O33" s="6">
        <f t="shared" si="1"/>
        <v>2920</v>
      </c>
      <c r="P33" s="43">
        <f t="shared" si="0"/>
        <v>1.2939119084949968E-16</v>
      </c>
      <c r="Q33" s="43">
        <f t="shared" si="0"/>
        <v>1.1516001768469576E-18</v>
      </c>
      <c r="R33" s="43">
        <f t="shared" si="0"/>
        <v>1.6204860773209101E-12</v>
      </c>
      <c r="S33" s="43">
        <f t="shared" si="0"/>
        <v>7.4027453891462057E-10</v>
      </c>
      <c r="T33" s="43">
        <f t="shared" si="0"/>
        <v>1.8810680790939283E-51</v>
      </c>
      <c r="U33" s="43">
        <f t="shared" si="0"/>
        <v>6.5606808940777163E-101</v>
      </c>
    </row>
    <row r="34" spans="1:21" x14ac:dyDescent="0.2">
      <c r="N34" s="6">
        <v>9</v>
      </c>
      <c r="O34" s="6">
        <f t="shared" si="1"/>
        <v>3285</v>
      </c>
      <c r="P34" s="43">
        <f t="shared" si="0"/>
        <v>1.3362656316976704E-18</v>
      </c>
      <c r="Q34" s="43">
        <f t="shared" si="0"/>
        <v>6.591199217056068E-21</v>
      </c>
      <c r="R34" s="43">
        <f t="shared" si="0"/>
        <v>5.4431583283350741E-14</v>
      </c>
      <c r="S34" s="43">
        <f t="shared" si="0"/>
        <v>5.3464672887156594E-11</v>
      </c>
      <c r="T34" s="43">
        <f t="shared" si="0"/>
        <v>8.5843037787675804E-58</v>
      </c>
      <c r="U34" s="43">
        <f t="shared" si="0"/>
        <v>1.9681923020786569E-113</v>
      </c>
    </row>
    <row r="35" spans="1:21" x14ac:dyDescent="0.2">
      <c r="N35" s="6">
        <v>10</v>
      </c>
      <c r="O35" s="6">
        <f t="shared" si="1"/>
        <v>3650</v>
      </c>
      <c r="P35" s="43">
        <f t="shared" si="0"/>
        <v>1.3800057227491433E-20</v>
      </c>
      <c r="Q35" s="43">
        <f t="shared" si="0"/>
        <v>3.7724818033519645E-23</v>
      </c>
      <c r="R35" s="43">
        <f t="shared" si="0"/>
        <v>1.8283386079012978E-15</v>
      </c>
      <c r="S35" s="43">
        <f t="shared" si="0"/>
        <v>3.8613664210601045E-12</v>
      </c>
      <c r="T35" s="43">
        <f t="shared" si="0"/>
        <v>3.9174696644503952E-64</v>
      </c>
      <c r="U35" s="43">
        <f t="shared" si="0"/>
        <v>5.9045410080199133E-126</v>
      </c>
    </row>
    <row r="36" spans="1:21" x14ac:dyDescent="0.2">
      <c r="N36" s="6">
        <v>11</v>
      </c>
      <c r="O36" s="6">
        <f t="shared" si="1"/>
        <v>4015</v>
      </c>
      <c r="P36" s="43">
        <f t="shared" si="0"/>
        <v>1.4251775617404131E-22</v>
      </c>
      <c r="Q36" s="43">
        <f t="shared" si="0"/>
        <v>2.1591850720874107E-25</v>
      </c>
      <c r="R36" s="43">
        <f t="shared" si="0"/>
        <v>6.1413280002181037E-17</v>
      </c>
      <c r="S36" s="43">
        <f t="shared" si="0"/>
        <v>2.7887855349194926E-13</v>
      </c>
      <c r="T36" s="43">
        <f t="shared" si="0"/>
        <v>1.7877476109183485E-70</v>
      </c>
      <c r="U36" s="43">
        <f t="shared" si="0"/>
        <v>1.7713515330067331E-138</v>
      </c>
    </row>
    <row r="38" spans="1:21" x14ac:dyDescent="0.2">
      <c r="A38" s="7" t="s">
        <v>759</v>
      </c>
      <c r="B38" s="6" t="s">
        <v>593</v>
      </c>
    </row>
    <row r="39" spans="1:21" x14ac:dyDescent="0.2">
      <c r="A39" s="74" t="s">
        <v>962</v>
      </c>
      <c r="B39" s="75" t="s">
        <v>657</v>
      </c>
      <c r="C39" s="75"/>
      <c r="D39" s="75"/>
      <c r="E39" s="75"/>
      <c r="F39" s="75" t="s">
        <v>658</v>
      </c>
      <c r="G39" s="75"/>
      <c r="H39" s="75"/>
      <c r="I39" s="75"/>
      <c r="J39" s="75"/>
    </row>
    <row r="40" spans="1:21" x14ac:dyDescent="0.2">
      <c r="A40" s="7" t="s">
        <v>614</v>
      </c>
      <c r="B40" s="6" t="s">
        <v>594</v>
      </c>
      <c r="J40" s="75" t="s">
        <v>656</v>
      </c>
      <c r="K40" s="75"/>
    </row>
    <row r="41" spans="1:21" x14ac:dyDescent="0.2">
      <c r="A41" s="7" t="s">
        <v>954</v>
      </c>
      <c r="B41" s="6">
        <v>7.1999999999999998E-3</v>
      </c>
    </row>
    <row r="42" spans="1:21" x14ac:dyDescent="0.2">
      <c r="A42" s="7" t="s">
        <v>955</v>
      </c>
      <c r="B42" s="49" t="s">
        <v>595</v>
      </c>
    </row>
    <row r="45" spans="1:21" x14ac:dyDescent="0.2">
      <c r="A45" s="7" t="s">
        <v>759</v>
      </c>
      <c r="B45" s="39" t="s">
        <v>596</v>
      </c>
    </row>
    <row r="46" spans="1:21" x14ac:dyDescent="0.2">
      <c r="A46" s="7" t="s">
        <v>962</v>
      </c>
      <c r="B46" s="7" t="s">
        <v>661</v>
      </c>
    </row>
    <row r="47" spans="1:21" x14ac:dyDescent="0.2">
      <c r="B47" s="39" t="s">
        <v>662</v>
      </c>
      <c r="C47" s="6" t="s">
        <v>663</v>
      </c>
    </row>
    <row r="48" spans="1:21" x14ac:dyDescent="0.2">
      <c r="A48" s="7" t="s">
        <v>614</v>
      </c>
      <c r="B48" s="39" t="s">
        <v>597</v>
      </c>
    </row>
    <row r="49" spans="1:3" x14ac:dyDescent="0.2">
      <c r="A49" s="7" t="s">
        <v>954</v>
      </c>
      <c r="B49" s="6">
        <v>0.04</v>
      </c>
      <c r="C49" s="6" t="s">
        <v>659</v>
      </c>
    </row>
    <row r="50" spans="1:3" x14ac:dyDescent="0.2">
      <c r="B50" s="6">
        <v>7.9000000000000001E-2</v>
      </c>
      <c r="C50" s="6" t="s">
        <v>660</v>
      </c>
    </row>
    <row r="51" spans="1:3" x14ac:dyDescent="0.2">
      <c r="B51" s="39" t="s">
        <v>598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A1:J43"/>
  <sheetViews>
    <sheetView topLeftCell="A26" workbookViewId="0">
      <selection activeCell="B43" sqref="B43"/>
    </sheetView>
  </sheetViews>
  <sheetFormatPr baseColWidth="10" defaultRowHeight="12.75" x14ac:dyDescent="0.2"/>
  <cols>
    <col min="1" max="256" width="9.140625" customWidth="1"/>
  </cols>
  <sheetData>
    <row r="1" spans="1:10" x14ac:dyDescent="0.2">
      <c r="A1" s="7" t="s">
        <v>759</v>
      </c>
      <c r="B1" t="s">
        <v>664</v>
      </c>
    </row>
    <row r="2" spans="1:10" x14ac:dyDescent="0.2">
      <c r="A2" s="7" t="s">
        <v>962</v>
      </c>
      <c r="B2" s="1" t="s">
        <v>665</v>
      </c>
    </row>
    <row r="3" spans="1:10" x14ac:dyDescent="0.2">
      <c r="A3" s="7"/>
      <c r="B3" s="14" t="s">
        <v>670</v>
      </c>
      <c r="I3" s="14"/>
      <c r="J3" s="14"/>
    </row>
    <row r="4" spans="1:10" x14ac:dyDescent="0.2">
      <c r="A4" s="7"/>
      <c r="B4" s="14" t="s">
        <v>671</v>
      </c>
      <c r="I4" s="14"/>
      <c r="J4" s="14"/>
    </row>
    <row r="5" spans="1:10" x14ac:dyDescent="0.2">
      <c r="A5" s="7"/>
      <c r="B5" t="s">
        <v>669</v>
      </c>
    </row>
    <row r="6" spans="1:10" x14ac:dyDescent="0.2">
      <c r="A6" s="7"/>
      <c r="B6" s="1"/>
    </row>
    <row r="7" spans="1:10" x14ac:dyDescent="0.2">
      <c r="A7" s="7"/>
      <c r="B7" s="1"/>
    </row>
    <row r="21" spans="8:9" x14ac:dyDescent="0.2">
      <c r="I21" t="s">
        <v>666</v>
      </c>
    </row>
    <row r="22" spans="8:9" x14ac:dyDescent="0.2">
      <c r="H22">
        <v>0.25</v>
      </c>
    </row>
    <row r="23" spans="8:9" x14ac:dyDescent="0.2">
      <c r="H23">
        <v>0.43</v>
      </c>
      <c r="I23">
        <f>H23/H22</f>
        <v>1.72</v>
      </c>
    </row>
    <row r="25" spans="8:9" x14ac:dyDescent="0.2">
      <c r="H25" t="s">
        <v>667</v>
      </c>
    </row>
    <row r="26" spans="8:9" x14ac:dyDescent="0.2">
      <c r="H26" t="s">
        <v>668</v>
      </c>
    </row>
    <row r="31" spans="8:9" x14ac:dyDescent="0.2">
      <c r="H31">
        <v>0.22</v>
      </c>
    </row>
    <row r="32" spans="8:9" x14ac:dyDescent="0.2">
      <c r="H32">
        <v>7.0000000000000007E-2</v>
      </c>
      <c r="I32">
        <f>H32/H31</f>
        <v>0.31818181818181823</v>
      </c>
    </row>
    <row r="43" spans="1:2" x14ac:dyDescent="0.2">
      <c r="A43" s="7" t="s">
        <v>954</v>
      </c>
      <c r="B43" s="76">
        <v>0.3</v>
      </c>
    </row>
  </sheetData>
  <phoneticPr fontId="19" type="noConversion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AC58"/>
  <sheetViews>
    <sheetView topLeftCell="G17" workbookViewId="0">
      <selection activeCell="Y41" sqref="Y41"/>
    </sheetView>
  </sheetViews>
  <sheetFormatPr baseColWidth="10" defaultRowHeight="12.75" x14ac:dyDescent="0.2"/>
  <cols>
    <col min="1" max="1" width="9.140625" style="6" customWidth="1"/>
    <col min="2" max="2" width="12.140625" style="6" customWidth="1"/>
    <col min="3" max="3" width="7.85546875" style="6" customWidth="1"/>
    <col min="4" max="4" width="6.7109375" style="6" customWidth="1"/>
    <col min="5" max="5" width="7.7109375" style="6" customWidth="1"/>
    <col min="6" max="6" width="4.7109375" style="6" customWidth="1"/>
    <col min="7" max="7" width="15.42578125" style="6" customWidth="1"/>
    <col min="8" max="8" width="8.5703125" style="6" customWidth="1"/>
    <col min="9" max="9" width="6.5703125" style="6" customWidth="1"/>
    <col min="10" max="10" width="8.140625" style="6" customWidth="1"/>
    <col min="11" max="11" width="4.42578125" style="6" customWidth="1"/>
    <col min="12" max="12" width="9.28515625" style="6" customWidth="1"/>
    <col min="13" max="13" width="8.7109375" style="6" customWidth="1"/>
    <col min="14" max="14" width="7.28515625" style="6" customWidth="1"/>
    <col min="15" max="15" width="8" style="6" customWidth="1"/>
    <col min="16" max="16" width="8.7109375" style="6" customWidth="1"/>
    <col min="17" max="17" width="6.5703125" style="6" customWidth="1"/>
    <col min="18" max="18" width="8.28515625" style="6" customWidth="1"/>
    <col min="19" max="19" width="7.42578125" style="6" customWidth="1"/>
    <col min="20" max="20" width="8.5703125" style="6" customWidth="1"/>
    <col min="21" max="21" width="8.140625" style="6" customWidth="1"/>
    <col min="22" max="23" width="7.5703125" style="6" customWidth="1"/>
    <col min="24" max="24" width="8.42578125" style="6" customWidth="1"/>
    <col min="25" max="25" width="7.85546875" style="6" customWidth="1"/>
    <col min="26" max="26" width="7" style="6" customWidth="1"/>
    <col min="27" max="27" width="8.28515625" style="6" customWidth="1"/>
    <col min="28" max="28" width="6.85546875" style="6" customWidth="1"/>
    <col min="29" max="29" width="9" style="6" customWidth="1"/>
    <col min="30" max="256" width="9.140625" style="6" customWidth="1"/>
    <col min="257" max="16384" width="11.42578125" style="6"/>
  </cols>
  <sheetData>
    <row r="1" spans="1:7" x14ac:dyDescent="0.2">
      <c r="A1" s="6" t="s">
        <v>759</v>
      </c>
      <c r="B1" s="6" t="s">
        <v>599</v>
      </c>
    </row>
    <row r="2" spans="1:7" x14ac:dyDescent="0.2">
      <c r="A2" s="6" t="s">
        <v>962</v>
      </c>
      <c r="B2" s="77" t="s">
        <v>665</v>
      </c>
      <c r="G2" s="6" t="s">
        <v>673</v>
      </c>
    </row>
    <row r="3" spans="1:7" x14ac:dyDescent="0.2">
      <c r="B3" s="6" t="s">
        <v>672</v>
      </c>
      <c r="G3" s="6" t="s">
        <v>674</v>
      </c>
    </row>
    <row r="5" spans="1:7" x14ac:dyDescent="0.2">
      <c r="B5" s="7" t="s">
        <v>600</v>
      </c>
    </row>
    <row r="6" spans="1:7" x14ac:dyDescent="0.2">
      <c r="B6" s="39" t="s">
        <v>601</v>
      </c>
    </row>
    <row r="7" spans="1:7" x14ac:dyDescent="0.2">
      <c r="B7" s="78" t="s">
        <v>602</v>
      </c>
    </row>
    <row r="8" spans="1:7" x14ac:dyDescent="0.2">
      <c r="B8" s="50"/>
    </row>
    <row r="9" spans="1:7" x14ac:dyDescent="0.2">
      <c r="B9" s="50"/>
    </row>
    <row r="10" spans="1:7" x14ac:dyDescent="0.2">
      <c r="B10" s="50"/>
    </row>
    <row r="11" spans="1:7" x14ac:dyDescent="0.2">
      <c r="B11" s="50"/>
    </row>
    <row r="12" spans="1:7" x14ac:dyDescent="0.2">
      <c r="B12" s="50"/>
    </row>
    <row r="13" spans="1:7" x14ac:dyDescent="0.2">
      <c r="B13" s="50"/>
    </row>
    <row r="14" spans="1:7" x14ac:dyDescent="0.2">
      <c r="B14" s="39"/>
    </row>
    <row r="15" spans="1:7" x14ac:dyDescent="0.2">
      <c r="B15" s="50"/>
    </row>
    <row r="16" spans="1:7" x14ac:dyDescent="0.2">
      <c r="B16" s="50"/>
    </row>
    <row r="17" spans="2:29" x14ac:dyDescent="0.2">
      <c r="B17" s="51"/>
    </row>
    <row r="18" spans="2:29" x14ac:dyDescent="0.2">
      <c r="B18" s="50"/>
    </row>
    <row r="19" spans="2:29" x14ac:dyDescent="0.2">
      <c r="B19" s="50"/>
    </row>
    <row r="20" spans="2:29" x14ac:dyDescent="0.2">
      <c r="B20" s="50"/>
    </row>
    <row r="21" spans="2:29" x14ac:dyDescent="0.2">
      <c r="B21" s="50"/>
    </row>
    <row r="22" spans="2:29" x14ac:dyDescent="0.2">
      <c r="B22" s="50"/>
    </row>
    <row r="23" spans="2:29" x14ac:dyDescent="0.2">
      <c r="B23" s="50"/>
    </row>
    <row r="25" spans="2:29" x14ac:dyDescent="0.2">
      <c r="R25" s="6" t="s">
        <v>691</v>
      </c>
      <c r="U25" s="83" t="s">
        <v>692</v>
      </c>
      <c r="X25" s="87"/>
      <c r="AA25" s="83"/>
    </row>
    <row r="26" spans="2:29" x14ac:dyDescent="0.2">
      <c r="R26" t="s">
        <v>688</v>
      </c>
      <c r="S26" t="s">
        <v>689</v>
      </c>
      <c r="T26" t="s">
        <v>690</v>
      </c>
      <c r="U26" s="84" t="s">
        <v>688</v>
      </c>
      <c r="V26" t="s">
        <v>689</v>
      </c>
      <c r="W26" t="s">
        <v>690</v>
      </c>
      <c r="X26" s="87"/>
      <c r="AA26" s="83"/>
    </row>
    <row r="27" spans="2:29" x14ac:dyDescent="0.2">
      <c r="B27" s="6" t="s">
        <v>684</v>
      </c>
      <c r="C27" s="6" t="s">
        <v>675</v>
      </c>
      <c r="E27" s="6" t="s">
        <v>676</v>
      </c>
      <c r="G27" s="81" t="s">
        <v>685</v>
      </c>
      <c r="H27" s="81"/>
      <c r="I27" s="52" t="s">
        <v>686</v>
      </c>
      <c r="L27" s="77" t="s">
        <v>687</v>
      </c>
      <c r="M27" s="81" t="s">
        <v>685</v>
      </c>
      <c r="N27" s="81"/>
      <c r="O27" s="52" t="s">
        <v>686</v>
      </c>
      <c r="R27" s="82">
        <v>5.0851319824753563E-2</v>
      </c>
      <c r="S27" s="82">
        <v>0.2625904709748087</v>
      </c>
      <c r="T27" s="82">
        <v>0.24112212486308821</v>
      </c>
      <c r="U27" s="85">
        <v>8.4896221765913785E-2</v>
      </c>
      <c r="V27" s="82">
        <v>0.13968836413415497</v>
      </c>
      <c r="W27" s="82">
        <v>0.14081054072553029</v>
      </c>
      <c r="X27" s="87"/>
      <c r="AA27" s="83"/>
    </row>
    <row r="28" spans="2:29" x14ac:dyDescent="0.2">
      <c r="C28" s="6" t="s">
        <v>677</v>
      </c>
      <c r="D28" s="6" t="s">
        <v>678</v>
      </c>
      <c r="E28" s="6" t="s">
        <v>677</v>
      </c>
      <c r="F28" s="6" t="s">
        <v>678</v>
      </c>
      <c r="G28" s="81" t="s">
        <v>677</v>
      </c>
      <c r="H28" s="81" t="s">
        <v>678</v>
      </c>
      <c r="I28" s="81" t="s">
        <v>677</v>
      </c>
      <c r="J28" s="81" t="s">
        <v>678</v>
      </c>
      <c r="M28" s="81" t="s">
        <v>677</v>
      </c>
      <c r="N28" s="81" t="s">
        <v>678</v>
      </c>
      <c r="O28" s="81" t="s">
        <v>677</v>
      </c>
      <c r="P28" s="81" t="s">
        <v>678</v>
      </c>
      <c r="R28" s="6" t="s">
        <v>693</v>
      </c>
      <c r="S28" s="6" t="s">
        <v>693</v>
      </c>
      <c r="T28" s="6" t="s">
        <v>693</v>
      </c>
      <c r="U28" s="83" t="s">
        <v>693</v>
      </c>
      <c r="V28" s="6" t="s">
        <v>693</v>
      </c>
      <c r="W28" s="6" t="s">
        <v>693</v>
      </c>
      <c r="X28" s="88" t="s">
        <v>678</v>
      </c>
      <c r="Y28" s="81" t="s">
        <v>678</v>
      </c>
      <c r="Z28" s="81" t="s">
        <v>678</v>
      </c>
      <c r="AA28" s="90" t="s">
        <v>678</v>
      </c>
      <c r="AB28" s="81" t="s">
        <v>678</v>
      </c>
      <c r="AC28" s="81" t="s">
        <v>678</v>
      </c>
    </row>
    <row r="29" spans="2:29" x14ac:dyDescent="0.2">
      <c r="B29" s="6" t="s">
        <v>679</v>
      </c>
      <c r="J29" s="6" t="s">
        <v>207</v>
      </c>
      <c r="U29" s="83"/>
      <c r="X29" s="87"/>
      <c r="AA29" s="83"/>
    </row>
    <row r="30" spans="2:29" x14ac:dyDescent="0.2">
      <c r="B30" s="6" t="s">
        <v>680</v>
      </c>
      <c r="C30" s="6">
        <v>0.56000000000000005</v>
      </c>
      <c r="D30" s="6">
        <v>0.33</v>
      </c>
      <c r="E30" s="6">
        <v>0.56999999999999995</v>
      </c>
      <c r="F30" s="6">
        <v>0.63</v>
      </c>
      <c r="G30" s="80">
        <f>AVERAGE(C30,E30)</f>
        <v>0.56499999999999995</v>
      </c>
      <c r="H30" s="80">
        <f>AVERAGE(D30,F30)</f>
        <v>0.48</v>
      </c>
      <c r="I30" s="80">
        <f>AVERAGE(G30,G33,G36)</f>
        <v>0.50666666666666671</v>
      </c>
      <c r="J30" s="80">
        <f>AVERAGE(H30,H33,H36)</f>
        <v>0.46166666666666667</v>
      </c>
      <c r="M30" s="41">
        <f>G30/365</f>
        <v>1.5479452054794518E-3</v>
      </c>
      <c r="N30" s="41">
        <f>H30/365</f>
        <v>1.315068493150685E-3</v>
      </c>
      <c r="O30" s="41">
        <f>I30/365</f>
        <v>1.3881278538812787E-3</v>
      </c>
      <c r="P30" s="41">
        <f>J30/365</f>
        <v>1.2648401826484018E-3</v>
      </c>
      <c r="R30" s="79">
        <f>$M30/R$27</f>
        <v>3.0440610210591589E-2</v>
      </c>
      <c r="S30" s="79"/>
      <c r="T30" s="79"/>
      <c r="U30" s="86">
        <f>$M30/U$27</f>
        <v>1.8233381572004877E-2</v>
      </c>
      <c r="V30" s="79"/>
      <c r="W30" s="79"/>
      <c r="X30" s="89">
        <f>$N30/R$27</f>
        <v>2.5861049382449496E-2</v>
      </c>
      <c r="Y30" s="79"/>
      <c r="Z30" s="79"/>
      <c r="AA30" s="86">
        <f>$N30/U$27</f>
        <v>1.5490306468251934E-2</v>
      </c>
      <c r="AB30" s="79"/>
      <c r="AC30" s="79"/>
    </row>
    <row r="31" spans="2:29" x14ac:dyDescent="0.2">
      <c r="B31" s="6" t="s">
        <v>681</v>
      </c>
      <c r="C31" s="6">
        <v>0.61</v>
      </c>
      <c r="D31" s="6">
        <v>0.55000000000000004</v>
      </c>
      <c r="E31" s="6">
        <v>0.7</v>
      </c>
      <c r="F31" s="6">
        <v>0.65</v>
      </c>
      <c r="G31" s="80">
        <f t="shared" ref="G31:H37" si="0">AVERAGE(C31,E31)</f>
        <v>0.65500000000000003</v>
      </c>
      <c r="H31" s="80">
        <f t="shared" si="0"/>
        <v>0.60000000000000009</v>
      </c>
      <c r="I31" s="80">
        <f>AVERAGE(G31,G34,G37)</f>
        <v>0.83833333333333326</v>
      </c>
      <c r="J31" s="80">
        <f>AVERAGE(H31,H34,H37)</f>
        <v>0.55000000000000004</v>
      </c>
      <c r="M31" s="41">
        <f t="shared" ref="M31:M39" si="1">G31/365</f>
        <v>1.7945205479452055E-3</v>
      </c>
      <c r="N31" s="41">
        <f>H31/365</f>
        <v>1.6438356164383565E-3</v>
      </c>
      <c r="O31" s="41">
        <f>I31/365</f>
        <v>2.2968036529680365E-3</v>
      </c>
      <c r="P31" s="41">
        <f>J31/365</f>
        <v>1.5068493150684932E-3</v>
      </c>
      <c r="R31" s="79"/>
      <c r="S31" s="79">
        <f>$M31/S$27</f>
        <v>6.8339134367041091E-3</v>
      </c>
      <c r="T31" s="79">
        <f>$M31/T$27</f>
        <v>7.4423719887345635E-3</v>
      </c>
      <c r="U31" s="86"/>
      <c r="V31" s="79">
        <f>$M31/V$27</f>
        <v>1.2846600066285909E-2</v>
      </c>
      <c r="W31" s="79">
        <f>$M31/W$27</f>
        <v>1.2744220274269864E-2</v>
      </c>
      <c r="X31" s="89"/>
      <c r="Y31" s="79">
        <f>$N31/S$27</f>
        <v>6.2600733771335359E-3</v>
      </c>
      <c r="Z31" s="79">
        <f>$N31/T$27</f>
        <v>6.817439989680517E-3</v>
      </c>
      <c r="AA31" s="86"/>
      <c r="AB31" s="79">
        <f>$N31/V$27</f>
        <v>1.1767877923315339E-2</v>
      </c>
      <c r="AC31" s="79">
        <f>$N31/W$27</f>
        <v>1.1674094907728123E-2</v>
      </c>
    </row>
    <row r="32" spans="2:29" x14ac:dyDescent="0.2">
      <c r="B32" s="6" t="s">
        <v>682</v>
      </c>
      <c r="E32" s="6" t="s">
        <v>207</v>
      </c>
      <c r="G32" s="80"/>
      <c r="H32" s="80"/>
      <c r="M32" s="41"/>
      <c r="N32" s="41"/>
      <c r="O32" s="41"/>
      <c r="P32" s="41"/>
      <c r="R32" s="79"/>
      <c r="S32" s="79"/>
      <c r="T32" s="79"/>
      <c r="U32" s="86"/>
      <c r="V32" s="79"/>
      <c r="W32" s="79"/>
      <c r="X32" s="87"/>
      <c r="AA32" s="83"/>
    </row>
    <row r="33" spans="1:29" x14ac:dyDescent="0.2">
      <c r="A33" s="39"/>
      <c r="B33" s="6" t="s">
        <v>680</v>
      </c>
      <c r="C33" s="6">
        <v>0.39</v>
      </c>
      <c r="D33" s="6">
        <v>0.52</v>
      </c>
      <c r="E33" s="6">
        <v>0.33</v>
      </c>
      <c r="F33" s="6">
        <v>0.28999999999999998</v>
      </c>
      <c r="G33" s="80">
        <f t="shared" si="0"/>
        <v>0.36</v>
      </c>
      <c r="H33" s="80">
        <f t="shared" si="0"/>
        <v>0.40500000000000003</v>
      </c>
      <c r="M33" s="41">
        <f t="shared" si="1"/>
        <v>9.8630136986301367E-4</v>
      </c>
      <c r="N33" s="41">
        <f>H33/365</f>
        <v>1.1095890410958904E-3</v>
      </c>
      <c r="O33" s="41"/>
      <c r="P33" s="41"/>
      <c r="R33" s="79">
        <f>$M33/R$27</f>
        <v>1.9395787036837121E-2</v>
      </c>
      <c r="S33" s="79"/>
      <c r="T33" s="79"/>
      <c r="U33" s="86">
        <f>$M33/U$27</f>
        <v>1.1617729851188949E-2</v>
      </c>
      <c r="V33" s="79"/>
      <c r="W33" s="79"/>
      <c r="X33" s="89">
        <f>$N33/R$27</f>
        <v>2.1820260416441761E-2</v>
      </c>
      <c r="Y33" s="79"/>
      <c r="Z33" s="79"/>
      <c r="AA33" s="86">
        <f>$N33/U$27</f>
        <v>1.3069946082587569E-2</v>
      </c>
      <c r="AB33" s="79"/>
      <c r="AC33" s="79"/>
    </row>
    <row r="34" spans="1:29" x14ac:dyDescent="0.2">
      <c r="B34" s="6" t="s">
        <v>681</v>
      </c>
      <c r="C34" s="6">
        <v>0.88</v>
      </c>
      <c r="D34" s="6">
        <v>0.52</v>
      </c>
      <c r="E34" s="6">
        <v>0.27</v>
      </c>
      <c r="F34" s="6">
        <v>0.25</v>
      </c>
      <c r="G34" s="80">
        <f t="shared" si="0"/>
        <v>0.57499999999999996</v>
      </c>
      <c r="H34" s="80">
        <f t="shared" si="0"/>
        <v>0.38500000000000001</v>
      </c>
      <c r="M34" s="41">
        <f t="shared" si="1"/>
        <v>1.5753424657534245E-3</v>
      </c>
      <c r="N34" s="41">
        <f>H34/365</f>
        <v>1.0547945205479452E-3</v>
      </c>
      <c r="O34" s="41"/>
      <c r="P34" s="41"/>
      <c r="R34" s="79"/>
      <c r="S34" s="79">
        <f>$M34/S$27</f>
        <v>5.9992369864196367E-3</v>
      </c>
      <c r="T34" s="79">
        <f>$M34/T$27</f>
        <v>6.5333799901104942E-3</v>
      </c>
      <c r="U34" s="86"/>
      <c r="V34" s="79">
        <f>$M34/V$27</f>
        <v>1.1277549676510529E-2</v>
      </c>
      <c r="W34" s="79">
        <f>$M34/W$27</f>
        <v>1.1187674286572781E-2</v>
      </c>
      <c r="X34" s="89"/>
      <c r="Y34" s="79">
        <f>$N34/S$27</f>
        <v>4.0168804169940179E-3</v>
      </c>
      <c r="Z34" s="79">
        <f>$N34/T$27</f>
        <v>4.3745239933783309E-3</v>
      </c>
      <c r="AA34" s="86"/>
      <c r="AB34" s="79">
        <f>$N34/V$27</f>
        <v>7.5510550007940073E-3</v>
      </c>
      <c r="AC34" s="79">
        <f>$N34/W$27</f>
        <v>7.4908775657922099E-3</v>
      </c>
    </row>
    <row r="35" spans="1:29" x14ac:dyDescent="0.2">
      <c r="B35" s="6" t="s">
        <v>683</v>
      </c>
      <c r="E35" s="6" t="s">
        <v>207</v>
      </c>
      <c r="G35" s="80"/>
      <c r="H35" s="80"/>
      <c r="M35" s="41"/>
      <c r="N35" s="41"/>
      <c r="O35" s="41"/>
      <c r="P35" s="41"/>
      <c r="R35" s="79"/>
      <c r="S35" s="79"/>
      <c r="T35" s="79"/>
      <c r="U35" s="86"/>
      <c r="V35" s="79"/>
      <c r="W35" s="79"/>
      <c r="X35" s="87"/>
      <c r="AA35" s="83"/>
    </row>
    <row r="36" spans="1:29" x14ac:dyDescent="0.2">
      <c r="B36" s="6" t="s">
        <v>680</v>
      </c>
      <c r="C36" s="6">
        <v>0.98</v>
      </c>
      <c r="D36" s="6">
        <v>0.76</v>
      </c>
      <c r="E36" s="6">
        <v>0.21</v>
      </c>
      <c r="F36" s="6">
        <v>0.24</v>
      </c>
      <c r="G36" s="80">
        <f t="shared" si="0"/>
        <v>0.59499999999999997</v>
      </c>
      <c r="H36" s="80">
        <f t="shared" si="0"/>
        <v>0.5</v>
      </c>
      <c r="M36" s="41">
        <f t="shared" si="1"/>
        <v>1.6301369863013697E-3</v>
      </c>
      <c r="N36" s="41">
        <f>H36/365</f>
        <v>1.3698630136986301E-3</v>
      </c>
      <c r="O36" s="41"/>
      <c r="P36" s="41"/>
      <c r="R36" s="79">
        <f>$M36/R$27</f>
        <v>3.2056925796994686E-2</v>
      </c>
      <c r="S36" s="79"/>
      <c r="T36" s="79"/>
      <c r="U36" s="86">
        <f>$M36/U$27</f>
        <v>1.9201525726270624E-2</v>
      </c>
      <c r="V36" s="79"/>
      <c r="W36" s="79"/>
      <c r="X36" s="89">
        <f>$N36/R$27</f>
        <v>2.6938593106718225E-2</v>
      </c>
      <c r="Y36" s="79"/>
      <c r="Z36" s="79"/>
      <c r="AA36" s="86">
        <f>$N36/U$27</f>
        <v>1.6135735904429099E-2</v>
      </c>
      <c r="AB36" s="79"/>
      <c r="AC36" s="79"/>
    </row>
    <row r="37" spans="1:29" x14ac:dyDescent="0.2">
      <c r="B37" s="6" t="s">
        <v>681</v>
      </c>
      <c r="C37" s="6">
        <v>2.11</v>
      </c>
      <c r="D37" s="6">
        <v>0.79</v>
      </c>
      <c r="E37" s="6">
        <v>0.46</v>
      </c>
      <c r="F37" s="6">
        <v>0.54</v>
      </c>
      <c r="G37" s="80">
        <f t="shared" si="0"/>
        <v>1.2849999999999999</v>
      </c>
      <c r="H37" s="80">
        <f t="shared" si="0"/>
        <v>0.66500000000000004</v>
      </c>
      <c r="M37" s="41">
        <f t="shared" si="1"/>
        <v>3.5205479452054792E-3</v>
      </c>
      <c r="N37" s="41">
        <f>H37/365</f>
        <v>1.8219178082191782E-3</v>
      </c>
      <c r="O37" s="41"/>
      <c r="P37" s="41"/>
      <c r="R37" s="79"/>
      <c r="S37" s="79">
        <f>$M37/S$27</f>
        <v>1.3406990482694319E-2</v>
      </c>
      <c r="T37" s="79">
        <f>$M37/T$27</f>
        <v>1.4600683977899103E-2</v>
      </c>
      <c r="U37" s="86"/>
      <c r="V37" s="79">
        <f>$M37/V$27</f>
        <v>2.520287188576701E-2</v>
      </c>
      <c r="W37" s="79">
        <f>$M37/W$27</f>
        <v>2.5002019927384388E-2</v>
      </c>
      <c r="X37" s="89"/>
      <c r="Y37" s="79">
        <f>$N37/S$27</f>
        <v>6.9382479929896677E-3</v>
      </c>
      <c r="Z37" s="79">
        <f>$N37/T$27</f>
        <v>7.5559959885625723E-3</v>
      </c>
      <c r="AA37" s="86"/>
      <c r="AB37" s="79">
        <f>$N37/V$27</f>
        <v>1.3042731365007831E-2</v>
      </c>
      <c r="AC37" s="79">
        <f>$N37/W$27</f>
        <v>1.2938788522732E-2</v>
      </c>
    </row>
    <row r="38" spans="1:29" x14ac:dyDescent="0.2">
      <c r="M38" s="41"/>
      <c r="N38" s="41"/>
      <c r="O38" s="41"/>
      <c r="P38" s="41"/>
      <c r="R38" s="79"/>
      <c r="S38" s="79"/>
      <c r="T38" s="79"/>
      <c r="U38" s="86"/>
      <c r="V38" s="79"/>
      <c r="W38" s="79"/>
      <c r="X38" s="87"/>
      <c r="AA38" s="83"/>
    </row>
    <row r="39" spans="1:29" x14ac:dyDescent="0.2">
      <c r="B39" s="6" t="s">
        <v>655</v>
      </c>
      <c r="C39" s="80">
        <f t="shared" ref="C39:H39" si="2">AVERAGE(C30:C37)</f>
        <v>0.92166666666666652</v>
      </c>
      <c r="D39" s="80">
        <f t="shared" si="2"/>
        <v>0.57833333333333337</v>
      </c>
      <c r="E39" s="80">
        <f t="shared" si="2"/>
        <v>0.42333333333333334</v>
      </c>
      <c r="F39" s="80">
        <f t="shared" si="2"/>
        <v>0.43333333333333335</v>
      </c>
      <c r="G39" s="80">
        <f t="shared" si="2"/>
        <v>0.67249999999999999</v>
      </c>
      <c r="H39" s="80">
        <f t="shared" si="2"/>
        <v>0.50583333333333336</v>
      </c>
      <c r="M39" s="41">
        <f t="shared" si="1"/>
        <v>1.8424657534246575E-3</v>
      </c>
      <c r="N39" s="41">
        <f>H39/365</f>
        <v>1.3858447488584475E-3</v>
      </c>
      <c r="O39" s="41"/>
      <c r="P39" s="41"/>
      <c r="R39" s="79">
        <f t="shared" ref="R39:W39" si="3">$M39/R$27</f>
        <v>3.623240772853601E-2</v>
      </c>
      <c r="S39" s="79">
        <f t="shared" si="3"/>
        <v>7.0164989102038371E-3</v>
      </c>
      <c r="T39" s="79">
        <f t="shared" si="3"/>
        <v>7.641213988433578E-3</v>
      </c>
      <c r="U39" s="86">
        <f t="shared" si="3"/>
        <v>2.1702564791457137E-2</v>
      </c>
      <c r="V39" s="79">
        <f t="shared" si="3"/>
        <v>1.3189829839049273E-2</v>
      </c>
      <c r="W39" s="79">
        <f t="shared" si="3"/>
        <v>1.30847147090786E-2</v>
      </c>
      <c r="X39" s="89">
        <f t="shared" ref="X39:AC39" si="4">$N39/R$27</f>
        <v>2.7252876692963269E-2</v>
      </c>
      <c r="Y39" s="79">
        <f t="shared" si="4"/>
        <v>5.2775896387778553E-3</v>
      </c>
      <c r="Z39" s="79">
        <f t="shared" si="4"/>
        <v>5.747480657966768E-3</v>
      </c>
      <c r="AA39" s="86">
        <f t="shared" si="4"/>
        <v>1.6323986156647437E-2</v>
      </c>
      <c r="AB39" s="79">
        <f t="shared" si="4"/>
        <v>9.9209748603505676E-3</v>
      </c>
      <c r="AC39" s="79">
        <f t="shared" si="4"/>
        <v>9.8419105680430125E-3</v>
      </c>
    </row>
    <row r="41" spans="1:29" x14ac:dyDescent="0.2">
      <c r="C41" s="80"/>
      <c r="D41" s="80"/>
    </row>
    <row r="49" spans="2:5" x14ac:dyDescent="0.2">
      <c r="B49" s="39"/>
      <c r="C49" s="52"/>
      <c r="D49" s="49"/>
      <c r="E49" s="52"/>
    </row>
    <row r="50" spans="2:5" x14ac:dyDescent="0.2">
      <c r="B50" s="49"/>
      <c r="C50" s="52"/>
      <c r="D50" s="49"/>
      <c r="E50" s="52"/>
    </row>
    <row r="51" spans="2:5" x14ac:dyDescent="0.2">
      <c r="B51" s="49"/>
      <c r="C51" s="39"/>
      <c r="D51" s="39"/>
    </row>
    <row r="52" spans="2:5" x14ac:dyDescent="0.2">
      <c r="B52" s="39"/>
      <c r="C52" s="53"/>
      <c r="D52" s="53"/>
    </row>
    <row r="53" spans="2:5" x14ac:dyDescent="0.2">
      <c r="C53" s="53"/>
      <c r="D53" s="53"/>
    </row>
    <row r="54" spans="2:5" x14ac:dyDescent="0.2">
      <c r="C54" s="53"/>
      <c r="D54" s="53"/>
    </row>
    <row r="55" spans="2:5" x14ac:dyDescent="0.2">
      <c r="C55" s="53"/>
      <c r="D55" s="53"/>
    </row>
    <row r="56" spans="2:5" x14ac:dyDescent="0.2">
      <c r="C56" s="53"/>
      <c r="D56" s="53"/>
    </row>
    <row r="57" spans="2:5" x14ac:dyDescent="0.2">
      <c r="C57" s="53"/>
      <c r="D57" s="53"/>
    </row>
    <row r="58" spans="2:5" x14ac:dyDescent="0.2">
      <c r="C58" s="53"/>
      <c r="D58" s="53"/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/>
  </sheetViews>
  <sheetFormatPr baseColWidth="10" defaultColWidth="11.42578125" defaultRowHeight="12.75" x14ac:dyDescent="0.2"/>
  <sheetData>
    <row r="1" spans="1:2" x14ac:dyDescent="0.2">
      <c r="A1" s="3" t="s">
        <v>842</v>
      </c>
    </row>
    <row r="3" spans="1:2" x14ac:dyDescent="0.2">
      <c r="A3" s="3" t="s">
        <v>843</v>
      </c>
      <c r="B3" s="3" t="s">
        <v>844</v>
      </c>
    </row>
    <row r="4" spans="1:2" x14ac:dyDescent="0.2">
      <c r="A4" s="3" t="s">
        <v>845</v>
      </c>
      <c r="B4" s="3" t="s">
        <v>846</v>
      </c>
    </row>
    <row r="5" spans="1:2" x14ac:dyDescent="0.2">
      <c r="B5" s="3" t="s">
        <v>847</v>
      </c>
    </row>
    <row r="7" spans="1:2" x14ac:dyDescent="0.2">
      <c r="A7" s="3" t="s">
        <v>843</v>
      </c>
      <c r="B7" s="3" t="s">
        <v>848</v>
      </c>
    </row>
    <row r="8" spans="1:2" x14ac:dyDescent="0.2">
      <c r="A8" s="3" t="s">
        <v>845</v>
      </c>
      <c r="B8" s="3" t="s">
        <v>849</v>
      </c>
    </row>
    <row r="10" spans="1:2" x14ac:dyDescent="0.2">
      <c r="A10" s="3" t="s">
        <v>843</v>
      </c>
      <c r="B10" s="3" t="s">
        <v>850</v>
      </c>
    </row>
    <row r="11" spans="1:2" x14ac:dyDescent="0.2">
      <c r="A11" s="3" t="s">
        <v>845</v>
      </c>
      <c r="B11" s="3" t="s">
        <v>849</v>
      </c>
    </row>
    <row r="13" spans="1:2" x14ac:dyDescent="0.2">
      <c r="A13" s="3" t="s">
        <v>843</v>
      </c>
      <c r="B13" s="3" t="s">
        <v>851</v>
      </c>
    </row>
    <row r="14" spans="1:2" x14ac:dyDescent="0.2">
      <c r="A14" s="3" t="s">
        <v>845</v>
      </c>
      <c r="B14" s="3" t="s">
        <v>849</v>
      </c>
    </row>
    <row r="16" spans="1:2" x14ac:dyDescent="0.2">
      <c r="A16" s="3" t="s">
        <v>843</v>
      </c>
      <c r="B16" s="3" t="s">
        <v>852</v>
      </c>
    </row>
    <row r="17" spans="1:2" x14ac:dyDescent="0.2">
      <c r="A17" s="3" t="s">
        <v>845</v>
      </c>
      <c r="B17" s="3" t="s">
        <v>849</v>
      </c>
    </row>
    <row r="19" spans="1:2" x14ac:dyDescent="0.2">
      <c r="A19" s="3" t="s">
        <v>843</v>
      </c>
      <c r="B19" s="3" t="s">
        <v>853</v>
      </c>
    </row>
    <row r="20" spans="1:2" x14ac:dyDescent="0.2">
      <c r="B20" s="3" t="s">
        <v>854</v>
      </c>
    </row>
    <row r="21" spans="1:2" x14ac:dyDescent="0.2">
      <c r="B21" s="3" t="s">
        <v>855</v>
      </c>
    </row>
    <row r="22" spans="1:2" x14ac:dyDescent="0.2">
      <c r="B22" s="3" t="s">
        <v>856</v>
      </c>
    </row>
    <row r="23" spans="1:2" x14ac:dyDescent="0.2">
      <c r="A23" s="3" t="s">
        <v>845</v>
      </c>
      <c r="B23" s="3" t="s">
        <v>857</v>
      </c>
    </row>
    <row r="25" spans="1:2" x14ac:dyDescent="0.2">
      <c r="A25" s="3" t="s">
        <v>843</v>
      </c>
      <c r="B25" s="3" t="s">
        <v>858</v>
      </c>
    </row>
    <row r="26" spans="1:2" x14ac:dyDescent="0.2">
      <c r="A26" s="3" t="s">
        <v>845</v>
      </c>
      <c r="B26" s="3" t="s">
        <v>859</v>
      </c>
    </row>
    <row r="28" spans="1:2" x14ac:dyDescent="0.2">
      <c r="A28" s="3" t="s">
        <v>843</v>
      </c>
      <c r="B28" s="3" t="s">
        <v>860</v>
      </c>
    </row>
    <row r="29" spans="1:2" x14ac:dyDescent="0.2">
      <c r="A29" s="3" t="s">
        <v>845</v>
      </c>
      <c r="B29" s="3" t="s">
        <v>861</v>
      </c>
    </row>
    <row r="30" spans="1:2" x14ac:dyDescent="0.2">
      <c r="A30" s="3" t="s">
        <v>862</v>
      </c>
      <c r="B30" s="3" t="s">
        <v>863</v>
      </c>
    </row>
    <row r="32" spans="1:2" x14ac:dyDescent="0.2">
      <c r="A32" s="3" t="s">
        <v>843</v>
      </c>
      <c r="B32" s="3" t="s">
        <v>864</v>
      </c>
    </row>
    <row r="33" spans="1:2" x14ac:dyDescent="0.2">
      <c r="A33" s="3" t="s">
        <v>845</v>
      </c>
      <c r="B33" s="3" t="s">
        <v>865</v>
      </c>
    </row>
    <row r="35" spans="1:2" x14ac:dyDescent="0.2">
      <c r="A35" s="3" t="s">
        <v>843</v>
      </c>
      <c r="B35" s="3" t="s">
        <v>866</v>
      </c>
    </row>
    <row r="36" spans="1:2" x14ac:dyDescent="0.2">
      <c r="A36" s="3" t="s">
        <v>845</v>
      </c>
      <c r="B36" s="3" t="s">
        <v>867</v>
      </c>
    </row>
    <row r="38" spans="1:2" x14ac:dyDescent="0.2">
      <c r="A38" s="3" t="s">
        <v>843</v>
      </c>
      <c r="B38" s="3" t="s">
        <v>868</v>
      </c>
    </row>
    <row r="39" spans="1:2" x14ac:dyDescent="0.2">
      <c r="A39" s="3" t="s">
        <v>845</v>
      </c>
      <c r="B39" s="3" t="s">
        <v>869</v>
      </c>
    </row>
    <row r="41" spans="1:2" x14ac:dyDescent="0.2">
      <c r="A41" s="3" t="s">
        <v>843</v>
      </c>
      <c r="B41" s="3" t="s">
        <v>870</v>
      </c>
    </row>
    <row r="42" spans="1:2" x14ac:dyDescent="0.2">
      <c r="A42" s="3" t="s">
        <v>845</v>
      </c>
      <c r="B42" s="3" t="s">
        <v>871</v>
      </c>
    </row>
    <row r="44" spans="1:2" x14ac:dyDescent="0.2">
      <c r="A44" s="3" t="s">
        <v>843</v>
      </c>
      <c r="B44" s="3" t="s">
        <v>872</v>
      </c>
    </row>
    <row r="45" spans="1:2" x14ac:dyDescent="0.2">
      <c r="A45" s="3" t="s">
        <v>845</v>
      </c>
      <c r="B45" s="3" t="s">
        <v>873</v>
      </c>
    </row>
    <row r="47" spans="1:2" x14ac:dyDescent="0.2">
      <c r="A47" s="3" t="s">
        <v>843</v>
      </c>
      <c r="B47" s="3" t="s">
        <v>874</v>
      </c>
    </row>
    <row r="48" spans="1:2" x14ac:dyDescent="0.2">
      <c r="A48" s="3" t="s">
        <v>845</v>
      </c>
      <c r="B48" s="3" t="s">
        <v>875</v>
      </c>
    </row>
    <row r="50" spans="1:2" x14ac:dyDescent="0.2">
      <c r="A50" s="3" t="s">
        <v>843</v>
      </c>
      <c r="B50" s="3" t="s">
        <v>876</v>
      </c>
    </row>
    <row r="51" spans="1:2" x14ac:dyDescent="0.2">
      <c r="A51" s="3" t="s">
        <v>845</v>
      </c>
      <c r="B51" s="3" t="s">
        <v>877</v>
      </c>
    </row>
    <row r="53" spans="1:2" x14ac:dyDescent="0.2">
      <c r="A53" s="3" t="s">
        <v>843</v>
      </c>
      <c r="B53" s="3" t="s">
        <v>878</v>
      </c>
    </row>
    <row r="54" spans="1:2" x14ac:dyDescent="0.2">
      <c r="A54" s="3" t="s">
        <v>845</v>
      </c>
      <c r="B54" s="3" t="s">
        <v>879</v>
      </c>
    </row>
    <row r="56" spans="1:2" x14ac:dyDescent="0.2">
      <c r="A56" s="3" t="s">
        <v>843</v>
      </c>
      <c r="B56" s="3" t="s">
        <v>880</v>
      </c>
    </row>
    <row r="57" spans="1:2" x14ac:dyDescent="0.2">
      <c r="B57" s="3" t="s">
        <v>881</v>
      </c>
    </row>
    <row r="58" spans="1:2" x14ac:dyDescent="0.2">
      <c r="A58" s="3" t="s">
        <v>845</v>
      </c>
      <c r="B58" s="3" t="s">
        <v>882</v>
      </c>
    </row>
    <row r="60" spans="1:2" x14ac:dyDescent="0.2">
      <c r="A60" s="3" t="s">
        <v>843</v>
      </c>
      <c r="B60" s="3" t="s">
        <v>883</v>
      </c>
    </row>
    <row r="61" spans="1:2" x14ac:dyDescent="0.2">
      <c r="B61" s="3" t="s">
        <v>884</v>
      </c>
    </row>
    <row r="62" spans="1:2" x14ac:dyDescent="0.2">
      <c r="A62" s="3" t="s">
        <v>845</v>
      </c>
      <c r="B62" s="3" t="s">
        <v>945</v>
      </c>
    </row>
    <row r="64" spans="1:2" x14ac:dyDescent="0.2">
      <c r="A64" s="3" t="s">
        <v>843</v>
      </c>
      <c r="B64" s="3" t="s">
        <v>946</v>
      </c>
    </row>
    <row r="65" spans="1:2" x14ac:dyDescent="0.2">
      <c r="A65" s="3" t="s">
        <v>845</v>
      </c>
      <c r="B65" s="3" t="s">
        <v>947</v>
      </c>
    </row>
    <row r="67" spans="1:2" x14ac:dyDescent="0.2">
      <c r="A67" s="3" t="s">
        <v>843</v>
      </c>
      <c r="B67" s="3" t="s">
        <v>948</v>
      </c>
    </row>
    <row r="68" spans="1:2" x14ac:dyDescent="0.2">
      <c r="A68" s="3" t="s">
        <v>845</v>
      </c>
      <c r="B68" s="3" t="s">
        <v>949</v>
      </c>
    </row>
    <row r="70" spans="1:2" x14ac:dyDescent="0.2">
      <c r="A70" s="3" t="s">
        <v>843</v>
      </c>
      <c r="B70" s="3" t="s">
        <v>950</v>
      </c>
    </row>
    <row r="71" spans="1:2" x14ac:dyDescent="0.2">
      <c r="A71" s="3" t="s">
        <v>845</v>
      </c>
      <c r="B71" s="3" t="s">
        <v>951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C53" sqref="C53"/>
    </sheetView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588</v>
      </c>
    </row>
    <row r="2" spans="1:2" x14ac:dyDescent="0.2">
      <c r="A2" s="3" t="s">
        <v>614</v>
      </c>
      <c r="B2" s="1" t="s">
        <v>603</v>
      </c>
    </row>
    <row r="3" spans="1:2" x14ac:dyDescent="0.2">
      <c r="A3" s="3" t="s">
        <v>954</v>
      </c>
      <c r="B3" s="3">
        <v>5</v>
      </c>
    </row>
    <row r="4" spans="1:2" x14ac:dyDescent="0.2">
      <c r="A4" s="3" t="s">
        <v>962</v>
      </c>
      <c r="B4" s="1" t="s">
        <v>771</v>
      </c>
    </row>
    <row r="6" spans="1:2" x14ac:dyDescent="0.2">
      <c r="A6" s="3" t="s">
        <v>604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activeCell="A6" sqref="A6"/>
    </sheetView>
  </sheetViews>
  <sheetFormatPr baseColWidth="10" defaultColWidth="11.42578125" defaultRowHeight="12.75" x14ac:dyDescent="0.2"/>
  <sheetData>
    <row r="2" spans="1:4" x14ac:dyDescent="0.2">
      <c r="A2" s="11" t="s">
        <v>82</v>
      </c>
      <c r="B2" s="4" t="s">
        <v>590</v>
      </c>
    </row>
    <row r="3" spans="1:4" x14ac:dyDescent="0.2">
      <c r="A3" s="11" t="s">
        <v>962</v>
      </c>
      <c r="B3" s="4" t="s">
        <v>605</v>
      </c>
    </row>
    <row r="4" spans="1:4" x14ac:dyDescent="0.2">
      <c r="A4" s="11" t="s">
        <v>954</v>
      </c>
      <c r="B4" s="4">
        <v>0.05</v>
      </c>
    </row>
    <row r="5" spans="1:4" x14ac:dyDescent="0.2">
      <c r="A5" s="4"/>
      <c r="B5" s="54" t="s">
        <v>516</v>
      </c>
    </row>
    <row r="7" spans="1:4" x14ac:dyDescent="0.2">
      <c r="A7" s="1" t="s">
        <v>759</v>
      </c>
      <c r="B7" s="3" t="s">
        <v>606</v>
      </c>
      <c r="D7" s="1" t="s">
        <v>607</v>
      </c>
    </row>
    <row r="8" spans="1:4" x14ac:dyDescent="0.2">
      <c r="A8" s="1" t="s">
        <v>614</v>
      </c>
      <c r="B8" s="3" t="s">
        <v>608</v>
      </c>
    </row>
    <row r="9" spans="1:4" x14ac:dyDescent="0.2">
      <c r="A9" s="1" t="s">
        <v>954</v>
      </c>
      <c r="B9" s="3" t="s">
        <v>609</v>
      </c>
    </row>
    <row r="10" spans="1:4" x14ac:dyDescent="0.2">
      <c r="A10" s="1" t="s">
        <v>955</v>
      </c>
      <c r="B10" s="3" t="s">
        <v>13</v>
      </c>
    </row>
    <row r="11" spans="1:4" x14ac:dyDescent="0.2">
      <c r="A11" s="1" t="s">
        <v>962</v>
      </c>
      <c r="B11" s="3" t="s">
        <v>610</v>
      </c>
    </row>
    <row r="12" spans="1:4" x14ac:dyDescent="0.2">
      <c r="B12" s="3" t="s">
        <v>611</v>
      </c>
    </row>
    <row r="13" spans="1:4" x14ac:dyDescent="0.2">
      <c r="B13" s="3" t="s">
        <v>612</v>
      </c>
    </row>
    <row r="14" spans="1:4" x14ac:dyDescent="0.2">
      <c r="B14" s="3" t="s">
        <v>613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B12"/>
  <sheetViews>
    <sheetView workbookViewId="0">
      <selection activeCell="C9" sqref="C9"/>
    </sheetView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952</v>
      </c>
    </row>
    <row r="2" spans="1:2" x14ac:dyDescent="0.2">
      <c r="A2" s="3" t="s">
        <v>761</v>
      </c>
      <c r="B2" s="1" t="s">
        <v>783</v>
      </c>
    </row>
    <row r="3" spans="1:2" x14ac:dyDescent="0.2">
      <c r="A3" s="3" t="s">
        <v>614</v>
      </c>
      <c r="B3" s="3" t="s">
        <v>953</v>
      </c>
    </row>
    <row r="4" spans="1:2" x14ac:dyDescent="0.2">
      <c r="A4" s="3" t="s">
        <v>954</v>
      </c>
      <c r="B4" s="3">
        <v>50</v>
      </c>
    </row>
    <row r="5" spans="1:2" x14ac:dyDescent="0.2">
      <c r="A5" s="3" t="s">
        <v>955</v>
      </c>
      <c r="B5" s="3" t="s">
        <v>956</v>
      </c>
    </row>
    <row r="6" spans="1:2" x14ac:dyDescent="0.2">
      <c r="A6" s="3" t="s">
        <v>957</v>
      </c>
      <c r="B6" s="1" t="s">
        <v>778</v>
      </c>
    </row>
    <row r="8" spans="1:2" x14ac:dyDescent="0.2">
      <c r="A8" s="11" t="s">
        <v>759</v>
      </c>
      <c r="B8" s="4" t="s">
        <v>958</v>
      </c>
    </row>
    <row r="9" spans="1:2" x14ac:dyDescent="0.2">
      <c r="A9" s="11" t="s">
        <v>761</v>
      </c>
      <c r="B9" s="11" t="s">
        <v>783</v>
      </c>
    </row>
    <row r="10" spans="1:2" x14ac:dyDescent="0.2">
      <c r="A10" s="11" t="s">
        <v>959</v>
      </c>
      <c r="B10" s="4" t="s">
        <v>960</v>
      </c>
    </row>
    <row r="11" spans="1:2" x14ac:dyDescent="0.2">
      <c r="A11" s="11" t="s">
        <v>954</v>
      </c>
      <c r="B11" s="4">
        <v>20</v>
      </c>
    </row>
    <row r="12" spans="1:2" x14ac:dyDescent="0.2">
      <c r="A12" s="11" t="s">
        <v>955</v>
      </c>
      <c r="B12" s="4" t="s">
        <v>956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D12"/>
  <sheetViews>
    <sheetView workbookViewId="0">
      <selection activeCell="I36" sqref="I36"/>
    </sheetView>
  </sheetViews>
  <sheetFormatPr baseColWidth="10" defaultColWidth="11.42578125" defaultRowHeight="12.75" x14ac:dyDescent="0.2"/>
  <sheetData>
    <row r="1" spans="1:4" x14ac:dyDescent="0.2">
      <c r="A1" s="4" t="s">
        <v>759</v>
      </c>
      <c r="B1" s="4" t="s">
        <v>961</v>
      </c>
    </row>
    <row r="2" spans="1:4" x14ac:dyDescent="0.2">
      <c r="A2" s="4" t="s">
        <v>962</v>
      </c>
      <c r="B2" s="4" t="s">
        <v>963</v>
      </c>
    </row>
    <row r="3" spans="1:4" x14ac:dyDescent="0.2">
      <c r="A3" s="4"/>
      <c r="B3" s="4" t="s">
        <v>964</v>
      </c>
    </row>
    <row r="4" spans="1:4" x14ac:dyDescent="0.2">
      <c r="A4" s="4" t="s">
        <v>614</v>
      </c>
      <c r="B4" s="11" t="s">
        <v>965</v>
      </c>
    </row>
    <row r="6" spans="1:4" x14ac:dyDescent="0.2">
      <c r="A6" s="1" t="s">
        <v>759</v>
      </c>
      <c r="B6" s="3" t="s">
        <v>966</v>
      </c>
    </row>
    <row r="7" spans="1:4" x14ac:dyDescent="0.2">
      <c r="A7" s="1" t="s">
        <v>962</v>
      </c>
      <c r="B7" s="3" t="s">
        <v>967</v>
      </c>
    </row>
    <row r="8" spans="1:4" x14ac:dyDescent="0.2">
      <c r="B8" s="3" t="s">
        <v>968</v>
      </c>
      <c r="C8" s="3" t="s">
        <v>969</v>
      </c>
      <c r="D8" s="3" t="s">
        <v>970</v>
      </c>
    </row>
    <row r="9" spans="1:4" x14ac:dyDescent="0.2">
      <c r="A9" s="1"/>
      <c r="B9" s="12">
        <v>10.59</v>
      </c>
      <c r="C9" s="12">
        <v>6.2E-2</v>
      </c>
      <c r="D9" s="12">
        <v>9.31</v>
      </c>
    </row>
    <row r="12" spans="1:4" x14ac:dyDescent="0.2">
      <c r="A12" t="s">
        <v>928</v>
      </c>
      <c r="D12" t="s">
        <v>929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</sheetPr>
  <dimension ref="A1:C58"/>
  <sheetViews>
    <sheetView topLeftCell="A31" workbookViewId="0">
      <selection activeCell="D19" sqref="D19"/>
    </sheetView>
  </sheetViews>
  <sheetFormatPr baseColWidth="10" defaultColWidth="11.42578125" defaultRowHeight="12.75" x14ac:dyDescent="0.2"/>
  <sheetData>
    <row r="1" spans="1:2" x14ac:dyDescent="0.2">
      <c r="A1" s="3" t="s">
        <v>759</v>
      </c>
      <c r="B1" s="3" t="s">
        <v>971</v>
      </c>
    </row>
    <row r="2" spans="1:2" x14ac:dyDescent="0.2">
      <c r="A2" s="3" t="s">
        <v>614</v>
      </c>
      <c r="B2" s="3" t="s">
        <v>972</v>
      </c>
    </row>
    <row r="3" spans="1:2" x14ac:dyDescent="0.2">
      <c r="A3" s="3" t="s">
        <v>954</v>
      </c>
      <c r="B3" s="3">
        <v>0.5</v>
      </c>
    </row>
    <row r="4" spans="1:2" x14ac:dyDescent="0.2">
      <c r="A4" s="3" t="s">
        <v>955</v>
      </c>
      <c r="B4" s="3" t="s">
        <v>973</v>
      </c>
    </row>
    <row r="6" spans="1:2" x14ac:dyDescent="0.2">
      <c r="A6" s="4" t="s">
        <v>759</v>
      </c>
      <c r="B6" s="4" t="s">
        <v>865</v>
      </c>
    </row>
    <row r="7" spans="1:2" x14ac:dyDescent="0.2">
      <c r="A7" s="4" t="s">
        <v>614</v>
      </c>
      <c r="B7" s="4" t="s">
        <v>974</v>
      </c>
    </row>
    <row r="8" spans="1:2" x14ac:dyDescent="0.2">
      <c r="A8" s="4" t="s">
        <v>954</v>
      </c>
      <c r="B8" s="4">
        <v>-0.42</v>
      </c>
    </row>
    <row r="9" spans="1:2" x14ac:dyDescent="0.2">
      <c r="A9" s="4" t="s">
        <v>955</v>
      </c>
      <c r="B9" s="4" t="s">
        <v>973</v>
      </c>
    </row>
    <row r="11" spans="1:2" x14ac:dyDescent="0.2">
      <c r="A11" s="4" t="s">
        <v>759</v>
      </c>
      <c r="B11" s="4" t="s">
        <v>867</v>
      </c>
    </row>
    <row r="12" spans="1:2" x14ac:dyDescent="0.2">
      <c r="A12" s="4" t="s">
        <v>614</v>
      </c>
      <c r="B12" s="4" t="s">
        <v>975</v>
      </c>
    </row>
    <row r="13" spans="1:2" x14ac:dyDescent="0.2">
      <c r="A13" s="4" t="s">
        <v>954</v>
      </c>
      <c r="B13" s="4">
        <v>-0.36</v>
      </c>
    </row>
    <row r="14" spans="1:2" x14ac:dyDescent="0.2">
      <c r="A14" s="4" t="s">
        <v>955</v>
      </c>
      <c r="B14" s="4" t="s">
        <v>973</v>
      </c>
    </row>
    <row r="16" spans="1:2" x14ac:dyDescent="0.2">
      <c r="A16" s="3" t="s">
        <v>759</v>
      </c>
      <c r="B16" s="3" t="s">
        <v>976</v>
      </c>
    </row>
    <row r="17" spans="1:2" x14ac:dyDescent="0.2">
      <c r="A17" s="3" t="s">
        <v>614</v>
      </c>
      <c r="B17" s="3" t="s">
        <v>972</v>
      </c>
    </row>
    <row r="18" spans="1:2" x14ac:dyDescent="0.2">
      <c r="A18" s="3" t="s">
        <v>977</v>
      </c>
      <c r="B18" s="3" t="s">
        <v>978</v>
      </c>
    </row>
    <row r="19" spans="1:2" x14ac:dyDescent="0.2">
      <c r="A19" s="3" t="s">
        <v>954</v>
      </c>
      <c r="B19" s="3">
        <v>0.5</v>
      </c>
    </row>
    <row r="20" spans="1:2" x14ac:dyDescent="0.2">
      <c r="A20" s="3" t="s">
        <v>955</v>
      </c>
      <c r="B20" s="3" t="s">
        <v>973</v>
      </c>
    </row>
    <row r="23" spans="1:2" x14ac:dyDescent="0.2">
      <c r="A23" s="3" t="s">
        <v>759</v>
      </c>
      <c r="B23" s="3" t="s">
        <v>979</v>
      </c>
    </row>
    <row r="24" spans="1:2" x14ac:dyDescent="0.2">
      <c r="A24" s="3" t="s">
        <v>759</v>
      </c>
      <c r="B24" s="3" t="s">
        <v>980</v>
      </c>
    </row>
    <row r="25" spans="1:2" x14ac:dyDescent="0.2">
      <c r="A25" s="3" t="s">
        <v>614</v>
      </c>
      <c r="B25" s="3" t="s">
        <v>981</v>
      </c>
    </row>
    <row r="26" spans="1:2" x14ac:dyDescent="0.2">
      <c r="A26" s="3" t="s">
        <v>977</v>
      </c>
      <c r="B26" s="3" t="s">
        <v>982</v>
      </c>
    </row>
    <row r="27" spans="1:2" x14ac:dyDescent="0.2">
      <c r="A27" s="3" t="s">
        <v>954</v>
      </c>
      <c r="B27" s="3">
        <v>0.5</v>
      </c>
    </row>
    <row r="28" spans="1:2" x14ac:dyDescent="0.2">
      <c r="A28" s="3" t="s">
        <v>955</v>
      </c>
      <c r="B28" s="3" t="s">
        <v>983</v>
      </c>
    </row>
    <row r="30" spans="1:2" x14ac:dyDescent="0.2">
      <c r="A30" s="1" t="s">
        <v>759</v>
      </c>
      <c r="B30" s="3" t="s">
        <v>984</v>
      </c>
    </row>
    <row r="31" spans="1:2" x14ac:dyDescent="0.2">
      <c r="A31" s="1" t="s">
        <v>614</v>
      </c>
      <c r="B31" s="3" t="s">
        <v>981</v>
      </c>
    </row>
    <row r="32" spans="1:2" x14ac:dyDescent="0.2">
      <c r="A32" s="1" t="s">
        <v>977</v>
      </c>
    </row>
    <row r="33" spans="1:3" x14ac:dyDescent="0.2">
      <c r="A33" s="1" t="s">
        <v>954</v>
      </c>
      <c r="B33" s="3">
        <v>0.5</v>
      </c>
    </row>
    <row r="34" spans="1:3" x14ac:dyDescent="0.2">
      <c r="A34" s="1" t="s">
        <v>955</v>
      </c>
    </row>
    <row r="36" spans="1:3" x14ac:dyDescent="0.2">
      <c r="A36" s="1" t="s">
        <v>759</v>
      </c>
      <c r="B36" s="3" t="s">
        <v>985</v>
      </c>
      <c r="C36" s="1"/>
    </row>
    <row r="37" spans="1:3" x14ac:dyDescent="0.2">
      <c r="A37" s="1" t="s">
        <v>614</v>
      </c>
      <c r="B37" s="3" t="s">
        <v>986</v>
      </c>
      <c r="C37" s="1"/>
    </row>
    <row r="38" spans="1:3" x14ac:dyDescent="0.2">
      <c r="A38" s="1" t="s">
        <v>977</v>
      </c>
      <c r="B38" s="1" t="s">
        <v>778</v>
      </c>
      <c r="C38" s="1"/>
    </row>
    <row r="39" spans="1:3" x14ac:dyDescent="0.2">
      <c r="A39" s="1" t="s">
        <v>954</v>
      </c>
      <c r="B39" s="3">
        <v>0.5</v>
      </c>
      <c r="C39" s="1"/>
    </row>
    <row r="40" spans="1:3" x14ac:dyDescent="0.2">
      <c r="A40" s="1" t="s">
        <v>955</v>
      </c>
      <c r="B40" s="3"/>
    </row>
    <row r="41" spans="1:3" x14ac:dyDescent="0.2">
      <c r="B41" s="3"/>
    </row>
    <row r="42" spans="1:3" x14ac:dyDescent="0.2">
      <c r="A42" s="1" t="s">
        <v>759</v>
      </c>
      <c r="B42" s="13" t="s">
        <v>987</v>
      </c>
    </row>
    <row r="43" spans="1:3" x14ac:dyDescent="0.2">
      <c r="A43" s="1" t="s">
        <v>614</v>
      </c>
      <c r="B43" s="3" t="s">
        <v>974</v>
      </c>
      <c r="C43" s="1"/>
    </row>
    <row r="44" spans="1:3" x14ac:dyDescent="0.2">
      <c r="A44" s="1" t="s">
        <v>977</v>
      </c>
      <c r="B44" s="3" t="s">
        <v>988</v>
      </c>
      <c r="C44" s="1"/>
    </row>
    <row r="45" spans="1:3" x14ac:dyDescent="0.2">
      <c r="A45" s="1" t="s">
        <v>954</v>
      </c>
      <c r="B45" s="3">
        <v>0.4</v>
      </c>
      <c r="C45" s="1"/>
    </row>
    <row r="46" spans="1:3" x14ac:dyDescent="0.2">
      <c r="A46" s="1" t="s">
        <v>955</v>
      </c>
    </row>
    <row r="48" spans="1:3" x14ac:dyDescent="0.2">
      <c r="A48" s="1" t="s">
        <v>759</v>
      </c>
      <c r="B48" s="3" t="s">
        <v>989</v>
      </c>
    </row>
    <row r="49" spans="1:2" x14ac:dyDescent="0.2">
      <c r="A49" s="1" t="s">
        <v>614</v>
      </c>
      <c r="B49" s="3" t="s">
        <v>990</v>
      </c>
    </row>
    <row r="50" spans="1:2" x14ac:dyDescent="0.2">
      <c r="A50" s="1" t="s">
        <v>977</v>
      </c>
      <c r="B50" s="3" t="s">
        <v>991</v>
      </c>
    </row>
    <row r="51" spans="1:2" x14ac:dyDescent="0.2">
      <c r="A51" s="1" t="s">
        <v>954</v>
      </c>
      <c r="B51" s="3">
        <v>0.36</v>
      </c>
    </row>
    <row r="52" spans="1:2" x14ac:dyDescent="0.2">
      <c r="A52" s="1" t="s">
        <v>955</v>
      </c>
    </row>
    <row r="54" spans="1:2" x14ac:dyDescent="0.2">
      <c r="A54" s="1" t="s">
        <v>759</v>
      </c>
      <c r="B54" s="3" t="s">
        <v>992</v>
      </c>
    </row>
    <row r="55" spans="1:2" ht="12.75" customHeight="1" x14ac:dyDescent="0.2">
      <c r="A55" s="1" t="s">
        <v>614</v>
      </c>
      <c r="B55" s="3" t="s">
        <v>993</v>
      </c>
    </row>
    <row r="56" spans="1:2" ht="12.75" customHeight="1" x14ac:dyDescent="0.2">
      <c r="A56" s="1" t="s">
        <v>977</v>
      </c>
      <c r="B56" s="1" t="s">
        <v>793</v>
      </c>
    </row>
    <row r="57" spans="1:2" ht="12.75" customHeight="1" x14ac:dyDescent="0.2">
      <c r="A57" s="1" t="s">
        <v>954</v>
      </c>
      <c r="B57" s="3">
        <v>0.5</v>
      </c>
    </row>
    <row r="58" spans="1:2" ht="12.75" customHeight="1" x14ac:dyDescent="0.2">
      <c r="A58" s="1" t="s">
        <v>955</v>
      </c>
      <c r="B58" s="3"/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K31"/>
  <sheetViews>
    <sheetView workbookViewId="0">
      <selection activeCell="D33" sqref="D33"/>
    </sheetView>
  </sheetViews>
  <sheetFormatPr baseColWidth="10" defaultColWidth="11.42578125" defaultRowHeight="12.75" x14ac:dyDescent="0.2"/>
  <cols>
    <col min="1" max="1" width="11.42578125" customWidth="1"/>
    <col min="2" max="2" width="26.7109375" style="3" customWidth="1"/>
    <col min="3" max="3" width="13.42578125" style="3" customWidth="1"/>
    <col min="4" max="7" width="11.42578125" customWidth="1"/>
    <col min="8" max="8" width="14.140625" style="3" customWidth="1"/>
    <col min="9" max="9" width="14.5703125" style="3" customWidth="1"/>
    <col min="10" max="10" width="13.85546875" style="3" customWidth="1"/>
    <col min="11" max="11" width="15.85546875" style="3" customWidth="1"/>
  </cols>
  <sheetData>
    <row r="1" spans="1:7" x14ac:dyDescent="0.2">
      <c r="A1" s="1" t="s">
        <v>759</v>
      </c>
      <c r="B1" s="3" t="s">
        <v>994</v>
      </c>
      <c r="F1" s="14"/>
    </row>
    <row r="2" spans="1:7" x14ac:dyDescent="0.2">
      <c r="A2" s="1" t="s">
        <v>962</v>
      </c>
      <c r="B2" s="1" t="s">
        <v>995</v>
      </c>
      <c r="F2" s="14"/>
    </row>
    <row r="3" spans="1:7" x14ac:dyDescent="0.2">
      <c r="A3" s="1" t="s">
        <v>614</v>
      </c>
      <c r="B3" s="3" t="s">
        <v>996</v>
      </c>
      <c r="F3" s="14"/>
    </row>
    <row r="4" spans="1:7" x14ac:dyDescent="0.2">
      <c r="A4" s="15"/>
      <c r="B4"/>
      <c r="C4" s="3" t="s">
        <v>997</v>
      </c>
      <c r="D4" s="3" t="s">
        <v>998</v>
      </c>
      <c r="E4" s="3" t="s">
        <v>999</v>
      </c>
      <c r="F4" s="3"/>
    </row>
    <row r="5" spans="1:7" x14ac:dyDescent="0.2">
      <c r="A5" s="15"/>
      <c r="B5" s="16" t="s">
        <v>1000</v>
      </c>
      <c r="C5" s="3" t="s">
        <v>1001</v>
      </c>
      <c r="D5" s="3" t="s">
        <v>1002</v>
      </c>
      <c r="E5" s="3" t="s">
        <v>1003</v>
      </c>
      <c r="F5" s="3"/>
    </row>
    <row r="6" spans="1:7" x14ac:dyDescent="0.2">
      <c r="A6" s="15">
        <v>15</v>
      </c>
      <c r="B6" s="17" t="s">
        <v>1004</v>
      </c>
      <c r="C6" s="3">
        <v>0.9</v>
      </c>
      <c r="D6" s="3">
        <v>11</v>
      </c>
      <c r="E6" s="3">
        <v>4.4000000000000004</v>
      </c>
      <c r="F6" s="3"/>
    </row>
    <row r="7" spans="1:7" x14ac:dyDescent="0.2">
      <c r="A7" s="15"/>
      <c r="B7" s="15"/>
      <c r="C7" s="18" t="s">
        <v>1004</v>
      </c>
      <c r="D7" s="18" t="s">
        <v>1004</v>
      </c>
      <c r="E7" s="18" t="s">
        <v>1004</v>
      </c>
      <c r="F7" s="3"/>
    </row>
    <row r="8" spans="1:7" x14ac:dyDescent="0.2">
      <c r="A8" s="15">
        <f>A6*1000</f>
        <v>15000</v>
      </c>
      <c r="B8" s="17" t="s">
        <v>1005</v>
      </c>
      <c r="C8" s="3">
        <f>C6*1000</f>
        <v>900</v>
      </c>
      <c r="D8" s="3">
        <f>D6*1000</f>
        <v>11000</v>
      </c>
      <c r="E8" s="3">
        <f>E6*1000</f>
        <v>4400</v>
      </c>
      <c r="F8" s="3"/>
    </row>
    <row r="9" spans="1:7" x14ac:dyDescent="0.2">
      <c r="A9" s="15"/>
      <c r="B9" s="15"/>
      <c r="C9" s="18" t="s">
        <v>1005</v>
      </c>
      <c r="D9" s="18" t="s">
        <v>1005</v>
      </c>
      <c r="E9" s="18" t="s">
        <v>1005</v>
      </c>
      <c r="F9" s="3"/>
    </row>
    <row r="10" spans="1:7" x14ac:dyDescent="0.2">
      <c r="A10" s="15">
        <f>A8*365*24</f>
        <v>131400000</v>
      </c>
      <c r="B10" s="17" t="s">
        <v>1006</v>
      </c>
      <c r="C10" s="3">
        <f>C8*24*365</f>
        <v>7884000</v>
      </c>
      <c r="D10" s="3">
        <f>D8*24*365</f>
        <v>96360000</v>
      </c>
      <c r="E10" s="3">
        <f>E8*24*365</f>
        <v>38544000</v>
      </c>
      <c r="F10" s="19" t="s">
        <v>1007</v>
      </c>
    </row>
    <row r="11" spans="1:7" x14ac:dyDescent="0.2">
      <c r="A11" s="15"/>
      <c r="B11" s="15"/>
      <c r="C11" s="18" t="s">
        <v>1008</v>
      </c>
      <c r="D11" s="18" t="s">
        <v>1008</v>
      </c>
      <c r="E11" s="18" t="s">
        <v>1008</v>
      </c>
      <c r="F11" s="3"/>
    </row>
    <row r="12" spans="1:7" x14ac:dyDescent="0.2">
      <c r="A12" s="15">
        <f>A10*14.007</f>
        <v>1840519800</v>
      </c>
      <c r="B12" s="17" t="s">
        <v>1009</v>
      </c>
      <c r="C12" s="3">
        <f>C10/(1000*1000)</f>
        <v>7.8840000000000003</v>
      </c>
      <c r="D12" s="3">
        <f>D10/(1000*1000)</f>
        <v>96.36</v>
      </c>
      <c r="E12" s="3">
        <f>E10/(1000*1000)</f>
        <v>38.543999999999997</v>
      </c>
      <c r="F12" s="3"/>
    </row>
    <row r="13" spans="1:7" x14ac:dyDescent="0.2">
      <c r="A13" s="15"/>
      <c r="B13" s="15"/>
      <c r="C13" s="3" t="s">
        <v>1010</v>
      </c>
      <c r="D13" s="3" t="s">
        <v>1010</v>
      </c>
      <c r="E13" s="3" t="s">
        <v>1010</v>
      </c>
      <c r="F13" s="3"/>
    </row>
    <row r="14" spans="1:7" x14ac:dyDescent="0.2">
      <c r="A14" s="15">
        <f>A12/1000/1000000</f>
        <v>1.8405198</v>
      </c>
      <c r="B14" s="15" t="s">
        <v>1011</v>
      </c>
      <c r="C14" s="3">
        <f>C12*14.007</f>
        <v>110.43118800000001</v>
      </c>
      <c r="D14" s="3">
        <f>D12*14.007</f>
        <v>1349.71452</v>
      </c>
      <c r="E14" s="3">
        <f>E12*14.007</f>
        <v>539.885808</v>
      </c>
      <c r="F14" s="1">
        <f>SUM(C14:E14)</f>
        <v>2000.031516</v>
      </c>
    </row>
    <row r="15" spans="1:7" x14ac:dyDescent="0.2">
      <c r="A15" s="15"/>
      <c r="B15"/>
      <c r="C15" s="3" t="s">
        <v>1012</v>
      </c>
      <c r="D15" s="3" t="s">
        <v>1012</v>
      </c>
      <c r="E15" s="3" t="s">
        <v>1012</v>
      </c>
      <c r="F15" s="3" t="s">
        <v>1012</v>
      </c>
    </row>
    <row r="16" spans="1:7" x14ac:dyDescent="0.2">
      <c r="A16" s="15"/>
      <c r="B16"/>
      <c r="C16" s="3">
        <f>C14/1000</f>
        <v>0.110431188</v>
      </c>
      <c r="D16" s="3">
        <f>D14/1000</f>
        <v>1.34971452</v>
      </c>
      <c r="E16" s="3">
        <f>E14/1000</f>
        <v>0.53988580799999997</v>
      </c>
      <c r="F16" s="1">
        <f>SUM(C16:E16)</f>
        <v>2.000031516</v>
      </c>
      <c r="G16" s="19" t="s">
        <v>1013</v>
      </c>
    </row>
    <row r="17" spans="1:7" x14ac:dyDescent="0.2">
      <c r="A17" s="20">
        <f>A14/2</f>
        <v>0.92025990000000002</v>
      </c>
      <c r="B17" s="15"/>
      <c r="C17" s="3" t="s">
        <v>1011</v>
      </c>
      <c r="D17" s="3" t="s">
        <v>1011</v>
      </c>
      <c r="E17" s="3" t="s">
        <v>1011</v>
      </c>
      <c r="F17" s="3" t="s">
        <v>1011</v>
      </c>
      <c r="G17" s="19" t="s">
        <v>1014</v>
      </c>
    </row>
    <row r="19" spans="1:7" x14ac:dyDescent="0.2">
      <c r="A19" t="s">
        <v>1015</v>
      </c>
      <c r="B19"/>
      <c r="C19"/>
    </row>
    <row r="20" spans="1:7" x14ac:dyDescent="0.2">
      <c r="B20"/>
      <c r="C20"/>
    </row>
    <row r="21" spans="1:7" x14ac:dyDescent="0.2">
      <c r="B21"/>
      <c r="C21"/>
    </row>
    <row r="22" spans="1:7" x14ac:dyDescent="0.2">
      <c r="A22" t="s">
        <v>1016</v>
      </c>
      <c r="B22"/>
      <c r="C22"/>
    </row>
    <row r="23" spans="1:7" x14ac:dyDescent="0.2">
      <c r="B23"/>
      <c r="C23"/>
    </row>
    <row r="24" spans="1:7" x14ac:dyDescent="0.2">
      <c r="B24" t="s">
        <v>1017</v>
      </c>
      <c r="C24"/>
    </row>
    <row r="25" spans="1:7" x14ac:dyDescent="0.2">
      <c r="B25" t="s">
        <v>1018</v>
      </c>
      <c r="C25"/>
      <c r="D25" t="s">
        <v>1019</v>
      </c>
    </row>
    <row r="26" spans="1:7" x14ac:dyDescent="0.2">
      <c r="B26">
        <v>12.2</v>
      </c>
      <c r="C26" s="17" t="s">
        <v>1004</v>
      </c>
      <c r="D26">
        <v>9.1</v>
      </c>
      <c r="E26" s="17" t="s">
        <v>1004</v>
      </c>
    </row>
    <row r="27" spans="1:7" x14ac:dyDescent="0.2">
      <c r="B27">
        <f>B26*1000</f>
        <v>12200</v>
      </c>
      <c r="C27" s="17" t="s">
        <v>1005</v>
      </c>
      <c r="D27">
        <f>D26*1000</f>
        <v>9100</v>
      </c>
    </row>
    <row r="28" spans="1:7" x14ac:dyDescent="0.2">
      <c r="B28">
        <f>B27*24*365</f>
        <v>106872000</v>
      </c>
      <c r="C28" s="17" t="s">
        <v>1006</v>
      </c>
      <c r="D28">
        <f>D27*24*365</f>
        <v>79716000</v>
      </c>
    </row>
    <row r="29" spans="1:7" x14ac:dyDescent="0.2">
      <c r="B29">
        <f>B28*14.007</f>
        <v>1496956104</v>
      </c>
      <c r="C29" s="17" t="s">
        <v>1009</v>
      </c>
      <c r="D29">
        <f>D28*14.007</f>
        <v>1116582012</v>
      </c>
    </row>
    <row r="30" spans="1:7" x14ac:dyDescent="0.2">
      <c r="B30">
        <f>B29/1000/1000000</f>
        <v>1.4969561040000001</v>
      </c>
      <c r="C30" t="s">
        <v>1020</v>
      </c>
      <c r="D30">
        <f>D29/1000/1000000</f>
        <v>1.1165820120000001</v>
      </c>
    </row>
    <row r="31" spans="1:7" x14ac:dyDescent="0.2">
      <c r="B31" s="20">
        <f>B30/2</f>
        <v>0.74847805200000006</v>
      </c>
      <c r="C31"/>
      <c r="D31" s="20">
        <f>D30/2</f>
        <v>0.55829100600000003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C25"/>
  <sheetViews>
    <sheetView workbookViewId="0">
      <selection activeCell="A3" sqref="A3:IV3"/>
    </sheetView>
  </sheetViews>
  <sheetFormatPr baseColWidth="10" defaultColWidth="11.42578125" defaultRowHeight="12.75" x14ac:dyDescent="0.2"/>
  <sheetData>
    <row r="1" spans="1:3" x14ac:dyDescent="0.2">
      <c r="A1" s="3" t="s">
        <v>759</v>
      </c>
      <c r="B1" s="3" t="s">
        <v>1021</v>
      </c>
    </row>
    <row r="2" spans="1:3" x14ac:dyDescent="0.2">
      <c r="A2" s="3" t="s">
        <v>962</v>
      </c>
      <c r="B2" s="3" t="s">
        <v>1022</v>
      </c>
    </row>
    <row r="3" spans="1:3" s="56" customFormat="1" x14ac:dyDescent="0.2">
      <c r="A3" s="55" t="s">
        <v>954</v>
      </c>
      <c r="B3" s="55" t="s">
        <v>1023</v>
      </c>
    </row>
    <row r="7" spans="1:3" x14ac:dyDescent="0.2">
      <c r="A7" s="3" t="s">
        <v>759</v>
      </c>
      <c r="B7" s="3" t="s">
        <v>1024</v>
      </c>
    </row>
    <row r="8" spans="1:3" x14ac:dyDescent="0.2">
      <c r="A8" s="3" t="s">
        <v>977</v>
      </c>
      <c r="B8" s="3" t="s">
        <v>1025</v>
      </c>
    </row>
    <row r="9" spans="1:3" x14ac:dyDescent="0.2">
      <c r="A9" s="3" t="s">
        <v>614</v>
      </c>
      <c r="B9" s="3" t="s">
        <v>1026</v>
      </c>
    </row>
    <row r="10" spans="1:3" x14ac:dyDescent="0.2">
      <c r="A10" s="3" t="s">
        <v>954</v>
      </c>
      <c r="B10" s="3">
        <v>22</v>
      </c>
      <c r="C10" s="3">
        <v>18.899999999999999</v>
      </c>
    </row>
    <row r="11" spans="1:3" x14ac:dyDescent="0.2">
      <c r="A11" s="3" t="s">
        <v>1027</v>
      </c>
      <c r="B11" s="3" t="s">
        <v>1028</v>
      </c>
      <c r="C11" s="3" t="s">
        <v>1029</v>
      </c>
    </row>
    <row r="13" spans="1:3" x14ac:dyDescent="0.2">
      <c r="A13" s="3" t="s">
        <v>614</v>
      </c>
      <c r="B13" s="3" t="s">
        <v>1030</v>
      </c>
    </row>
    <row r="14" spans="1:3" x14ac:dyDescent="0.2">
      <c r="A14" s="3" t="s">
        <v>954</v>
      </c>
      <c r="B14" s="3">
        <v>8.6</v>
      </c>
      <c r="C14" s="3">
        <v>8.5</v>
      </c>
    </row>
    <row r="15" spans="1:3" x14ac:dyDescent="0.2">
      <c r="A15" s="3" t="s">
        <v>1027</v>
      </c>
      <c r="B15" s="3" t="s">
        <v>1031</v>
      </c>
      <c r="C15" s="3" t="s">
        <v>1032</v>
      </c>
    </row>
    <row r="17" spans="1:3" x14ac:dyDescent="0.2">
      <c r="A17" s="3" t="s">
        <v>614</v>
      </c>
      <c r="B17" s="3" t="s">
        <v>630</v>
      </c>
    </row>
    <row r="18" spans="1:3" x14ac:dyDescent="0.2">
      <c r="A18" s="3" t="s">
        <v>954</v>
      </c>
      <c r="B18" s="3">
        <f>B14/B10</f>
        <v>0.39090909090909087</v>
      </c>
      <c r="C18" s="3">
        <f>C14/C10</f>
        <v>0.44973544973544977</v>
      </c>
    </row>
    <row r="19" spans="1:3" x14ac:dyDescent="0.2">
      <c r="A19" s="3" t="s">
        <v>1027</v>
      </c>
      <c r="B19" s="3" t="s">
        <v>1033</v>
      </c>
      <c r="C19" s="3" t="s">
        <v>1034</v>
      </c>
    </row>
    <row r="20" spans="1:3" x14ac:dyDescent="0.2">
      <c r="B20" s="3" t="s">
        <v>1035</v>
      </c>
      <c r="C20" s="3" t="s">
        <v>1036</v>
      </c>
    </row>
    <row r="22" spans="1:3" x14ac:dyDescent="0.2">
      <c r="A22" s="3" t="s">
        <v>759</v>
      </c>
      <c r="B22" s="3" t="s">
        <v>1037</v>
      </c>
    </row>
    <row r="23" spans="1:3" x14ac:dyDescent="0.2">
      <c r="A23" s="3" t="s">
        <v>977</v>
      </c>
      <c r="B23" s="1" t="s">
        <v>778</v>
      </c>
    </row>
    <row r="24" spans="1:3" x14ac:dyDescent="0.2">
      <c r="A24" s="3" t="s">
        <v>614</v>
      </c>
      <c r="B24" s="3" t="s">
        <v>1038</v>
      </c>
    </row>
    <row r="25" spans="1:3" x14ac:dyDescent="0.2">
      <c r="A25" s="3" t="s">
        <v>954</v>
      </c>
      <c r="B25" s="1">
        <v>0.06</v>
      </c>
    </row>
  </sheetData>
  <sheetProtection selectLockedCells="1" selectUnlockedCells="1"/>
  <phoneticPr fontId="0" type="noConversion"/>
  <pageMargins left="0.78740157499999996" right="0.78740157499999996" top="0.984251969" bottom="0.984251969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Content</vt:lpstr>
      <vt:lpstr>species_models</vt:lpstr>
      <vt:lpstr>Modellparameter</vt:lpstr>
      <vt:lpstr>additional data</vt:lpstr>
      <vt:lpstr>max_age</vt:lpstr>
      <vt:lpstr>stol</vt:lpstr>
      <vt:lpstr>pfext</vt:lpstr>
      <vt:lpstr>sigman</vt:lpstr>
      <vt:lpstr>respcoeff</vt:lpstr>
      <vt:lpstr>prg</vt:lpstr>
      <vt:lpstr>prms</vt:lpstr>
      <vt:lpstr>prmr</vt:lpstr>
      <vt:lpstr>psf</vt:lpstr>
      <vt:lpstr>pss</vt:lpstr>
      <vt:lpstr>psr</vt:lpstr>
      <vt:lpstr>pncr</vt:lpstr>
      <vt:lpstr>reallo_fol</vt:lpstr>
      <vt:lpstr>reallo_frt</vt:lpstr>
      <vt:lpstr>Ncon_fol</vt:lpstr>
      <vt:lpstr>Ncon_frt</vt:lpstr>
      <vt:lpstr>Ncon_crt</vt:lpstr>
      <vt:lpstr>Ncon_tbc</vt:lpstr>
      <vt:lpstr>Ncon_stem</vt:lpstr>
      <vt:lpstr>alphac</vt:lpstr>
      <vt:lpstr>cr_frac</vt:lpstr>
      <vt:lpstr>prhos</vt:lpstr>
      <vt:lpstr>pnus</vt:lpstr>
      <vt:lpstr>pha</vt:lpstr>
      <vt:lpstr>pha_v1_v2_v3</vt:lpstr>
      <vt:lpstr>crown_a</vt:lpstr>
      <vt:lpstr>Kronenansatzhöhe</vt:lpstr>
      <vt:lpstr>psla_min</vt:lpstr>
      <vt:lpstr>psla_a</vt:lpstr>
      <vt:lpstr>pb</vt:lpstr>
      <vt:lpstr>end_bb</vt:lpstr>
      <vt:lpstr>ceppot_spec</vt:lpstr>
      <vt:lpstr>k_opm_fol</vt:lpstr>
      <vt:lpstr>k_syn_fol</vt:lpstr>
      <vt:lpstr>k_opm_frt</vt:lpstr>
      <vt:lpstr>k_opm_stem</vt:lpstr>
      <vt:lpstr>k_opm_tbc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Lasch</dc:creator>
  <cp:lastModifiedBy>Petra Lasch</cp:lastModifiedBy>
  <dcterms:created xsi:type="dcterms:W3CDTF">2014-03-04T08:24:06Z</dcterms:created>
  <dcterms:modified xsi:type="dcterms:W3CDTF">2019-06-11T09:20:59Z</dcterms:modified>
</cp:coreProperties>
</file>